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6.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HCP_BACKUP\Yock Keng\Documents\Assessment\Criterias\GM Version 5.0\Calculator\Online\"/>
    </mc:Choice>
  </mc:AlternateContent>
  <xr:revisionPtr revIDLastSave="0" documentId="13_ncr:1_{6239993A-C341-4007-8313-F26E3F71EB4F}" xr6:coauthVersionLast="41" xr6:coauthVersionMax="41" xr10:uidLastSave="{00000000-0000-0000-0000-000000000000}"/>
  <bookViews>
    <workbookView xWindow="0" yWindow="0" windowWidth="20490" windowHeight="10920" tabRatio="500" activeTab="1" xr2:uid="{00000000-000D-0000-FFFF-FFFF00000000}"/>
  </bookViews>
  <sheets>
    <sheet name="Revision Tracking" sheetId="9" r:id="rId1"/>
    <sheet name="Score Summary" sheetId="2" r:id="rId2"/>
    <sheet name="Part 1 - CRD" sheetId="3" r:id="rId3"/>
    <sheet name="Part 2 - BEP" sheetId="4" r:id="rId4"/>
    <sheet name="Part 3 - RS" sheetId="5" r:id="rId5"/>
    <sheet name="Part 4 - SHB" sheetId="6" r:id="rId6"/>
    <sheet name="Part 5 - AGE" sheetId="7" r:id="rId7"/>
    <sheet name="Annexes" sheetId="11" r:id="rId8"/>
    <sheet name="Tabulation" sheetId="12" state="hidden" r:id="rId9"/>
    <sheet name="Report" sheetId="13" state="hidden" r:id="rId10"/>
  </sheets>
  <externalReferences>
    <externalReference r:id="rId11"/>
    <externalReference r:id="rId12"/>
  </externalReferences>
  <definedNames>
    <definedName name="CoolingLoad">'[1]Building Data schedule'!$G$36:$H$46</definedName>
    <definedName name="_xlnm.Print_Area" localSheetId="7">Annexes!$A$1:$F$16</definedName>
    <definedName name="_xlnm.Print_Area" localSheetId="2">'Part 1 - CRD'!$A$1:$F$96</definedName>
    <definedName name="_xlnm.Print_Area" localSheetId="3">'Part 2 - BEP'!$A$1:$F$79</definedName>
    <definedName name="_xlnm.Print_Area" localSheetId="4">'Part 3 - RS'!$A$1:$F$83</definedName>
    <definedName name="_xlnm.Print_Area" localSheetId="5">'Part 4 - SHB'!$A$1:$F$117</definedName>
    <definedName name="_xlnm.Print_Area" localSheetId="6">'Part 5 - AGE'!$A$1:$F$58</definedName>
    <definedName name="_xlnm.Print_Area" localSheetId="9">Report!$C$2:$E$32</definedName>
    <definedName name="_xlnm.Print_Area" localSheetId="1">'Score Summary'!$A$1:$J$52</definedName>
    <definedName name="_xlnm.Print_Titles" localSheetId="7">Annexes!$1:$1</definedName>
    <definedName name="_xlnm.Print_Titles" localSheetId="2">'Part 1 - CRD'!$1:$1</definedName>
    <definedName name="_xlnm.Print_Titles" localSheetId="3">'Part 2 - BEP'!$1:$1</definedName>
    <definedName name="_xlnm.Print_Titles" localSheetId="4">'Part 3 - RS'!$1:$1</definedName>
    <definedName name="_xlnm.Print_Titles" localSheetId="5">'Part 4 - SHB'!$1:$1</definedName>
    <definedName name="_xlnm.Print_Titles" localSheetId="6">'Part 5 - AGE'!$1:$1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0" i="6" l="1"/>
  <c r="E84" i="6" s="1"/>
  <c r="E88" i="6"/>
  <c r="D54" i="12" l="1"/>
  <c r="D53" i="12"/>
  <c r="D52" i="12"/>
  <c r="D51" i="12"/>
  <c r="D50" i="12"/>
  <c r="G97" i="6" l="1"/>
  <c r="K75" i="5"/>
  <c r="J75" i="5"/>
  <c r="I75" i="5"/>
  <c r="H75" i="5"/>
  <c r="G75" i="5"/>
  <c r="E73" i="5" l="1"/>
  <c r="B25" i="9"/>
  <c r="E48" i="12" l="1"/>
  <c r="E47" i="12"/>
  <c r="E46" i="12"/>
  <c r="E3" i="12"/>
  <c r="E4" i="13" s="1"/>
  <c r="A28" i="12"/>
  <c r="A29" i="12"/>
  <c r="A37" i="12"/>
  <c r="D43" i="12"/>
  <c r="D42" i="12"/>
  <c r="I78" i="3"/>
  <c r="K78" i="3"/>
  <c r="E43" i="12" s="1"/>
  <c r="A43" i="12" s="1"/>
  <c r="J78" i="3"/>
  <c r="E42" i="12" s="1"/>
  <c r="A42" i="12" s="1"/>
  <c r="D41" i="12"/>
  <c r="D40" i="12"/>
  <c r="D39" i="12"/>
  <c r="H78" i="3"/>
  <c r="E40" i="12" s="1"/>
  <c r="A40" i="12" s="1"/>
  <c r="D38" i="12"/>
  <c r="G71" i="3"/>
  <c r="E37" i="12" s="1"/>
  <c r="C38" i="12" s="1"/>
  <c r="D37" i="12"/>
  <c r="E34" i="12"/>
  <c r="A34" i="12" s="1"/>
  <c r="D35" i="12"/>
  <c r="C31" i="12"/>
  <c r="E30" i="12"/>
  <c r="A30" i="12" s="1"/>
  <c r="A23" i="12"/>
  <c r="E29" i="12"/>
  <c r="E28" i="12"/>
  <c r="C29" i="12" s="1"/>
  <c r="D27" i="12"/>
  <c r="C5" i="13"/>
  <c r="D5" i="13"/>
  <c r="C6" i="13"/>
  <c r="D6" i="13"/>
  <c r="D4" i="13"/>
  <c r="C4" i="13"/>
  <c r="E26" i="12"/>
  <c r="E25" i="12"/>
  <c r="A25" i="12" s="1"/>
  <c r="E24" i="12"/>
  <c r="A24" i="12" s="1"/>
  <c r="E23" i="12"/>
  <c r="C24" i="12" s="1"/>
  <c r="D22" i="12"/>
  <c r="D19" i="12"/>
  <c r="C3" i="13"/>
  <c r="D3" i="13"/>
  <c r="E3" i="13"/>
  <c r="D21" i="12"/>
  <c r="D20" i="12"/>
  <c r="D10" i="12"/>
  <c r="E19" i="12"/>
  <c r="A19" i="12" s="1"/>
  <c r="L33" i="3"/>
  <c r="K33" i="3"/>
  <c r="E18" i="12" s="1"/>
  <c r="A18" i="12" s="1"/>
  <c r="J33" i="3"/>
  <c r="E17" i="12" s="1"/>
  <c r="A17" i="12" s="1"/>
  <c r="I33" i="3"/>
  <c r="E16" i="12" s="1"/>
  <c r="A16" i="12" s="1"/>
  <c r="H33" i="3"/>
  <c r="E15" i="12" s="1"/>
  <c r="A15" i="12" s="1"/>
  <c r="G33" i="3"/>
  <c r="E14" i="12" s="1"/>
  <c r="D13" i="12"/>
  <c r="D12" i="12"/>
  <c r="D11" i="12"/>
  <c r="E4" i="12"/>
  <c r="E5" i="13" s="1"/>
  <c r="E5" i="12"/>
  <c r="E6" i="13" s="1"/>
  <c r="C15" i="12" l="1"/>
  <c r="C16" i="12"/>
  <c r="C17" i="12"/>
  <c r="A14" i="12"/>
  <c r="C26" i="12"/>
  <c r="C25" i="12"/>
  <c r="A26" i="12"/>
  <c r="E31" i="12"/>
  <c r="E32" i="12"/>
  <c r="A32" i="12" s="1"/>
  <c r="E33" i="12"/>
  <c r="A33" i="12" s="1"/>
  <c r="C18" i="12"/>
  <c r="C19" i="12"/>
  <c r="G31" i="3"/>
  <c r="C34" i="7"/>
  <c r="E34" i="7" s="1"/>
  <c r="C33" i="7"/>
  <c r="E33" i="7" s="1"/>
  <c r="C32" i="7"/>
  <c r="E32" i="7" s="1"/>
  <c r="C16" i="7"/>
  <c r="E16" i="7" s="1"/>
  <c r="C15" i="7"/>
  <c r="E15" i="7" s="1"/>
  <c r="C14" i="7"/>
  <c r="E14" i="7" s="1"/>
  <c r="E26" i="7"/>
  <c r="E24" i="7"/>
  <c r="E30" i="7"/>
  <c r="E29" i="7"/>
  <c r="E22" i="7"/>
  <c r="E21" i="7"/>
  <c r="E20" i="7"/>
  <c r="E19" i="7"/>
  <c r="E12" i="7"/>
  <c r="E42" i="7"/>
  <c r="C25" i="7"/>
  <c r="E25" i="7" s="1"/>
  <c r="C26" i="7"/>
  <c r="C24" i="7"/>
  <c r="A31" i="12" l="1"/>
  <c r="C32" i="12"/>
  <c r="C33" i="12"/>
  <c r="C9" i="7"/>
  <c r="H71" i="3"/>
  <c r="E38" i="12" s="1"/>
  <c r="A38" i="12" s="1"/>
  <c r="H42" i="5" l="1"/>
  <c r="H41" i="5"/>
  <c r="E40" i="5" l="1"/>
  <c r="E4" i="11"/>
  <c r="I33" i="2" s="1"/>
  <c r="E5" i="11"/>
  <c r="I34" i="2" s="1"/>
  <c r="E6" i="11"/>
  <c r="I35" i="2" s="1"/>
  <c r="E3" i="11"/>
  <c r="I32" i="2" s="1"/>
  <c r="A7" i="11"/>
  <c r="B8" i="11" s="1"/>
  <c r="E47" i="7"/>
  <c r="E38" i="7"/>
  <c r="E37" i="7" s="1"/>
  <c r="E43" i="7"/>
  <c r="E107" i="6"/>
  <c r="E99" i="6"/>
  <c r="E85" i="6"/>
  <c r="E82" i="6"/>
  <c r="E80" i="6"/>
  <c r="E78" i="6"/>
  <c r="E69" i="6"/>
  <c r="E67" i="6"/>
  <c r="E64" i="6"/>
  <c r="E62" i="6"/>
  <c r="G59" i="6"/>
  <c r="H56" i="6"/>
  <c r="E42" i="6"/>
  <c r="E38" i="6"/>
  <c r="E35" i="6"/>
  <c r="E32" i="6"/>
  <c r="E24" i="6"/>
  <c r="E22" i="6"/>
  <c r="E19" i="6"/>
  <c r="E16" i="6"/>
  <c r="G21" i="5"/>
  <c r="G14" i="5"/>
  <c r="E19" i="5"/>
  <c r="E17" i="5"/>
  <c r="E12" i="5"/>
  <c r="E64" i="4"/>
  <c r="E52" i="4"/>
  <c r="E15" i="3"/>
  <c r="E8" i="12" s="1"/>
  <c r="A8" i="12" s="1"/>
  <c r="E17" i="3"/>
  <c r="E9" i="12" s="1"/>
  <c r="A9" i="12" s="1"/>
  <c r="E19" i="3"/>
  <c r="E10" i="12" s="1"/>
  <c r="E21" i="3"/>
  <c r="E40" i="3"/>
  <c r="E44" i="3"/>
  <c r="E22" i="12" s="1"/>
  <c r="A22" i="12" s="1"/>
  <c r="E46" i="3"/>
  <c r="E54" i="3"/>
  <c r="E65" i="3"/>
  <c r="E69" i="3"/>
  <c r="E85" i="3"/>
  <c r="E101" i="6"/>
  <c r="E61" i="4"/>
  <c r="E10" i="3"/>
  <c r="E7" i="12" s="1"/>
  <c r="E9" i="7"/>
  <c r="A7" i="12" l="1"/>
  <c r="D9" i="2"/>
  <c r="E10" i="11"/>
  <c r="I31" i="2"/>
  <c r="E41" i="7"/>
  <c r="E46" i="7"/>
  <c r="A10" i="12" l="1"/>
  <c r="C30" i="2"/>
  <c r="C31" i="2"/>
  <c r="C32" i="2"/>
  <c r="B32" i="2"/>
  <c r="B31" i="2"/>
  <c r="B30" i="2"/>
  <c r="B29" i="2"/>
  <c r="B28" i="2"/>
  <c r="B27" i="2"/>
  <c r="B26" i="2"/>
  <c r="B25" i="2"/>
  <c r="H95" i="6" l="1"/>
  <c r="G95" i="6" s="1"/>
  <c r="H93" i="6"/>
  <c r="G93" i="6" s="1"/>
  <c r="E92" i="6" s="1"/>
  <c r="G87" i="6" l="1"/>
  <c r="G86" i="6"/>
  <c r="H51" i="6" l="1"/>
  <c r="G51" i="6"/>
  <c r="E51" i="6" s="1"/>
  <c r="G56" i="6"/>
  <c r="E56" i="6" s="1"/>
  <c r="E50" i="6" l="1"/>
  <c r="E76" i="6"/>
  <c r="E29" i="5"/>
  <c r="E34" i="5"/>
  <c r="G44" i="5"/>
  <c r="E48" i="5"/>
  <c r="D49" i="2"/>
  <c r="E71" i="5"/>
  <c r="G53" i="5"/>
  <c r="O57" i="5"/>
  <c r="O58" i="5"/>
  <c r="O59" i="5"/>
  <c r="O60" i="5"/>
  <c r="O61" i="5"/>
  <c r="O56" i="5"/>
  <c r="J57" i="5"/>
  <c r="J58" i="5"/>
  <c r="J59" i="5"/>
  <c r="J60" i="5"/>
  <c r="J61" i="5"/>
  <c r="J56" i="5"/>
  <c r="I57" i="5"/>
  <c r="I58" i="5"/>
  <c r="I59" i="5"/>
  <c r="I60" i="5"/>
  <c r="I61" i="5"/>
  <c r="I56" i="5"/>
  <c r="K54" i="5"/>
  <c r="I53" i="5" l="1"/>
  <c r="E52" i="5" s="1"/>
  <c r="E52" i="3"/>
  <c r="E50" i="3"/>
  <c r="E27" i="12" s="1"/>
  <c r="A27" i="12" s="1"/>
  <c r="I36" i="5"/>
  <c r="H36" i="5"/>
  <c r="G36" i="5"/>
  <c r="E36" i="5" l="1"/>
  <c r="G31" i="5" l="1"/>
  <c r="G9" i="5"/>
  <c r="E56" i="4" l="1"/>
  <c r="G57" i="4"/>
  <c r="G19" i="4" l="1"/>
  <c r="G17" i="4" s="1"/>
  <c r="E17" i="4" s="1"/>
  <c r="E53" i="12" s="1"/>
  <c r="A53" i="12" s="1"/>
  <c r="G46" i="4"/>
  <c r="G44" i="4" s="1"/>
  <c r="F8" i="4" l="1"/>
  <c r="E67" i="3"/>
  <c r="E63" i="3"/>
  <c r="E36" i="12" s="1"/>
  <c r="A36" i="12" s="1"/>
  <c r="H23" i="3"/>
  <c r="E12" i="12" s="1"/>
  <c r="A12" i="12" s="1"/>
  <c r="G23" i="3"/>
  <c r="E11" i="12" s="1"/>
  <c r="G66" i="4"/>
  <c r="C12" i="12" l="1"/>
  <c r="A11" i="12"/>
  <c r="C13" i="12"/>
  <c r="H48" i="4"/>
  <c r="G56" i="3" l="1"/>
  <c r="J23" i="3"/>
  <c r="I23" i="3"/>
  <c r="E13" i="12" s="1"/>
  <c r="A13" i="12" l="1"/>
  <c r="E71" i="3"/>
  <c r="E23" i="3"/>
  <c r="G48" i="4"/>
  <c r="E48" i="4" s="1"/>
  <c r="E41" i="12"/>
  <c r="A41" i="12" s="1"/>
  <c r="G78" i="3"/>
  <c r="E39" i="12" s="1"/>
  <c r="D36" i="3"/>
  <c r="E36" i="3"/>
  <c r="E13" i="3"/>
  <c r="A39" i="12" l="1"/>
  <c r="C41" i="12"/>
  <c r="C40" i="12"/>
  <c r="C42" i="12"/>
  <c r="C43" i="12"/>
  <c r="E77" i="3"/>
  <c r="G27" i="4" s="1"/>
  <c r="G26" i="4" s="1"/>
  <c r="G39" i="4"/>
  <c r="E39" i="4" s="1"/>
  <c r="D31" i="2" s="1"/>
  <c r="I27" i="4" l="1"/>
  <c r="I26" i="4" s="1"/>
  <c r="H27" i="4"/>
  <c r="H26" i="4" s="1"/>
  <c r="D74" i="6"/>
  <c r="E14" i="5"/>
  <c r="G54" i="4"/>
  <c r="E54" i="4" s="1"/>
  <c r="E44" i="4"/>
  <c r="G41" i="4"/>
  <c r="E41" i="4" s="1"/>
  <c r="G37" i="4"/>
  <c r="G21" i="4"/>
  <c r="G23" i="4" l="1"/>
  <c r="E21" i="4"/>
  <c r="E23" i="4"/>
  <c r="E9" i="4" s="1"/>
  <c r="E26" i="4"/>
  <c r="D30" i="2" s="1"/>
  <c r="G43" i="4"/>
  <c r="E43" i="4" s="1"/>
  <c r="D32" i="2" s="1"/>
  <c r="E37" i="4"/>
  <c r="E58" i="3"/>
  <c r="E35" i="12" s="1"/>
  <c r="A35" i="12" s="1"/>
  <c r="G58" i="3"/>
  <c r="D29" i="2" l="1"/>
  <c r="E54" i="12"/>
  <c r="A54" i="12" s="1"/>
  <c r="E9" i="3"/>
  <c r="D25" i="9" l="1"/>
  <c r="E44" i="6" l="1"/>
  <c r="I38" i="2" l="1"/>
  <c r="I12" i="2" l="1"/>
  <c r="I11" i="2"/>
  <c r="I10" i="2"/>
  <c r="I9" i="2"/>
  <c r="I8" i="2"/>
  <c r="I7" i="2"/>
  <c r="I6" i="2"/>
  <c r="I5" i="2"/>
  <c r="D38" i="2"/>
  <c r="D23" i="2"/>
  <c r="D22" i="2"/>
  <c r="D21" i="2"/>
  <c r="D7" i="2"/>
  <c r="D6" i="2"/>
  <c r="D5" i="2"/>
  <c r="E40" i="6" l="1"/>
  <c r="E62" i="5"/>
  <c r="G64" i="5"/>
  <c r="E46" i="5"/>
  <c r="H44" i="5"/>
  <c r="H31" i="5"/>
  <c r="E31" i="5" s="1"/>
  <c r="G15" i="4"/>
  <c r="E15" i="4" s="1"/>
  <c r="E52" i="12" s="1"/>
  <c r="A52" i="12" s="1"/>
  <c r="G13" i="4"/>
  <c r="E13" i="4" s="1"/>
  <c r="E51" i="12" s="1"/>
  <c r="A51" i="12" s="1"/>
  <c r="G11" i="4"/>
  <c r="E11" i="4" s="1"/>
  <c r="E50" i="12" l="1"/>
  <c r="A50" i="12" s="1"/>
  <c r="G8" i="4"/>
  <c r="G105" i="6"/>
  <c r="E105" i="6" s="1"/>
  <c r="G69" i="6"/>
  <c r="G67" i="6"/>
  <c r="E59" i="6"/>
  <c r="G29" i="6"/>
  <c r="E29" i="6" s="1"/>
  <c r="G27" i="6"/>
  <c r="E27" i="6" s="1"/>
  <c r="E14" i="6"/>
  <c r="E64" i="5"/>
  <c r="E50" i="5"/>
  <c r="E26" i="5"/>
  <c r="E77" i="5" s="1"/>
  <c r="E7" i="7" s="1"/>
  <c r="E43" i="5"/>
  <c r="E27" i="5"/>
  <c r="E21" i="5"/>
  <c r="E7" i="5"/>
  <c r="E9" i="5"/>
  <c r="E74" i="6" l="1"/>
  <c r="E75" i="6"/>
  <c r="E66" i="6"/>
  <c r="E61" i="6"/>
  <c r="E25" i="5"/>
  <c r="E34" i="6"/>
  <c r="E26" i="6"/>
  <c r="E15" i="6"/>
  <c r="E70" i="5"/>
  <c r="E16" i="5"/>
  <c r="E8" i="5"/>
  <c r="E66" i="4"/>
  <c r="E61" i="3"/>
  <c r="E56" i="3"/>
  <c r="G42" i="3"/>
  <c r="E30" i="3"/>
  <c r="E42" i="3" l="1"/>
  <c r="E21" i="12" s="1"/>
  <c r="A21" i="12" s="1"/>
  <c r="E8" i="4"/>
  <c r="E62" i="3"/>
  <c r="E73" i="6"/>
  <c r="E6" i="5"/>
  <c r="E111" i="6"/>
  <c r="E8" i="7" s="1"/>
  <c r="E13" i="6"/>
  <c r="G69" i="4"/>
  <c r="E59" i="4"/>
  <c r="E48" i="3"/>
  <c r="G38" i="3"/>
  <c r="E38" i="3" s="1"/>
  <c r="E20" i="12" s="1"/>
  <c r="A20" i="12" l="1"/>
  <c r="E44" i="12"/>
  <c r="E69" i="4"/>
  <c r="E60" i="4" s="1"/>
  <c r="E73" i="4" s="1"/>
  <c r="E6" i="7" s="1"/>
  <c r="E72" i="4"/>
  <c r="E37" i="3"/>
  <c r="E35" i="3" s="1"/>
  <c r="A44" i="12" l="1"/>
  <c r="D12" i="2"/>
  <c r="E90" i="3"/>
  <c r="E5" i="7" s="1"/>
  <c r="E4" i="7" s="1"/>
  <c r="E52" i="7" s="1"/>
  <c r="E8" i="3"/>
  <c r="D7" i="13" l="1"/>
  <c r="E7" i="13"/>
  <c r="A45" i="12"/>
  <c r="C7" i="13"/>
  <c r="E89" i="3"/>
  <c r="I21" i="2"/>
  <c r="I19" i="2"/>
  <c r="I15" i="2"/>
  <c r="D46" i="2"/>
  <c r="D44" i="2"/>
  <c r="D41" i="2"/>
  <c r="D40" i="2"/>
  <c r="D39" i="2"/>
  <c r="D24" i="2"/>
  <c r="D15" i="2"/>
  <c r="D48" i="2"/>
  <c r="D47" i="2"/>
  <c r="D45" i="2"/>
  <c r="D42" i="2"/>
  <c r="D36" i="2"/>
  <c r="D35" i="2"/>
  <c r="D34" i="2"/>
  <c r="D33" i="2" s="1"/>
  <c r="I30" i="2"/>
  <c r="I29" i="2"/>
  <c r="D28" i="2"/>
  <c r="I28" i="2"/>
  <c r="D27" i="2"/>
  <c r="D26" i="2"/>
  <c r="D25" i="2"/>
  <c r="I25" i="2"/>
  <c r="I24" i="2"/>
  <c r="I23" i="2"/>
  <c r="I22" i="2"/>
  <c r="I20" i="2"/>
  <c r="D19" i="2"/>
  <c r="D18" i="2"/>
  <c r="D17" i="2"/>
  <c r="D16" i="2"/>
  <c r="I16" i="2"/>
  <c r="D14" i="2"/>
  <c r="I14" i="2"/>
  <c r="D11" i="2"/>
  <c r="D10" i="2"/>
  <c r="C8" i="13" l="1"/>
  <c r="D20" i="2"/>
  <c r="E8" i="13"/>
  <c r="D8" i="13"/>
  <c r="A46" i="12"/>
  <c r="D9" i="13" s="1"/>
  <c r="D8" i="2"/>
  <c r="D13" i="2"/>
  <c r="I13" i="2"/>
  <c r="D43" i="2"/>
  <c r="D37" i="2" s="1"/>
  <c r="A47" i="12" l="1"/>
  <c r="C9" i="13"/>
  <c r="E9" i="13"/>
  <c r="D4" i="2"/>
  <c r="E76" i="5"/>
  <c r="I27" i="2"/>
  <c r="I26" i="2" s="1"/>
  <c r="D10" i="13" l="1"/>
  <c r="C10" i="13"/>
  <c r="A48" i="12"/>
  <c r="A49" i="12" s="1"/>
  <c r="D15" i="13" s="1"/>
  <c r="E10" i="13"/>
  <c r="E13" i="13" l="1"/>
  <c r="C12" i="13"/>
  <c r="D12" i="13"/>
  <c r="C15" i="13"/>
  <c r="C13" i="13"/>
  <c r="D14" i="13"/>
  <c r="C11" i="13"/>
  <c r="C14" i="13"/>
  <c r="E14" i="13"/>
  <c r="E15" i="13"/>
  <c r="E11" i="13"/>
  <c r="D11" i="13"/>
  <c r="D13" i="13"/>
  <c r="E12" i="13"/>
  <c r="I18" i="2"/>
  <c r="E49" i="6"/>
  <c r="I17" i="2" s="1"/>
  <c r="I4" i="2" s="1"/>
  <c r="I37" i="2" s="1"/>
  <c r="C7" i="11" s="1"/>
  <c r="E7" i="11" s="1"/>
  <c r="I39" i="2" l="1"/>
  <c r="E110" i="6"/>
</calcChain>
</file>

<file path=xl/sharedStrings.xml><?xml version="1.0" encoding="utf-8"?>
<sst xmlns="http://schemas.openxmlformats.org/spreadsheetml/2006/main" count="717" uniqueCount="484">
  <si>
    <t>SECTION</t>
  </si>
  <si>
    <t>ADVANCED GREEN EFFORTS</t>
  </si>
  <si>
    <t>PROJECT SCORE SUMMARY</t>
  </si>
  <si>
    <t>POINTS AVAILABLE</t>
  </si>
  <si>
    <t>POINTS SCORED</t>
  </si>
  <si>
    <t>VERIFICATION</t>
  </si>
  <si>
    <t>PART 1 – CLIMATIC RESPONSIVE DESIGN</t>
  </si>
  <si>
    <t>PART 4 – SMART AND HEALTHY BUILDING</t>
  </si>
  <si>
    <t>Envelope and Roof Thermal Transfer</t>
  </si>
  <si>
    <t>Thermal Comfort</t>
  </si>
  <si>
    <t>Air Tightness and Leakage</t>
  </si>
  <si>
    <t>Minimum Ventilation Rate</t>
  </si>
  <si>
    <t>Bicycle Parking</t>
  </si>
  <si>
    <t>P.10</t>
  </si>
  <si>
    <t>Filtration Media for Times of Pollution</t>
  </si>
  <si>
    <t>LEADERSHIP</t>
  </si>
  <si>
    <t>P.11</t>
  </si>
  <si>
    <t>Low Volatile Organic Compound (VOC) Paints</t>
  </si>
  <si>
    <t>Climatic &amp; Contextually Responsive Brief</t>
  </si>
  <si>
    <t>P.12</t>
  </si>
  <si>
    <t>Refrigerants</t>
  </si>
  <si>
    <t xml:space="preserve">Integrative Design Process </t>
  </si>
  <si>
    <t>P.13</t>
  </si>
  <si>
    <t>Sound Level</t>
  </si>
  <si>
    <t xml:space="preserve">Environmental Credentials of Project Team </t>
  </si>
  <si>
    <t>P.14</t>
  </si>
  <si>
    <t>P.15</t>
  </si>
  <si>
    <t>Electrical Sub-Metering &amp; BMS</t>
  </si>
  <si>
    <t>User Engagement</t>
  </si>
  <si>
    <t>INDOOR AIR QUALITY</t>
  </si>
  <si>
    <t>URBAN HARMONY</t>
  </si>
  <si>
    <t>Occupant Comfort</t>
  </si>
  <si>
    <t>Sustainable Urbanism</t>
  </si>
  <si>
    <t>Outdoor Air</t>
  </si>
  <si>
    <t>Integrated Landscape and Waterscape</t>
  </si>
  <si>
    <t xml:space="preserve">Indoor Contaminants </t>
  </si>
  <si>
    <t>TROPICALITY</t>
  </si>
  <si>
    <t>SPATIAL QUALITY</t>
  </si>
  <si>
    <t>Tropical Facade Performance</t>
  </si>
  <si>
    <t>Lighting</t>
  </si>
  <si>
    <t>Internal Organisation</t>
  </si>
  <si>
    <t>Acoustics</t>
  </si>
  <si>
    <t>Ventilation Performance</t>
  </si>
  <si>
    <t>Wellbeing</t>
  </si>
  <si>
    <t>PART 2 – BUILDING ENERGY PERFORMANCE</t>
  </si>
  <si>
    <t>SMART BUILDING OPERATIONS</t>
  </si>
  <si>
    <t>Air Conditioning Efficiency</t>
  </si>
  <si>
    <t>Energy Monitoring</t>
  </si>
  <si>
    <t>Lighting Efficiency and Controls</t>
  </si>
  <si>
    <t>Demand Control</t>
  </si>
  <si>
    <t>Vertical Transportation Efficiency</t>
  </si>
  <si>
    <t>Integration and Analytics</t>
  </si>
  <si>
    <t>ENERGY EFFICIENCY</t>
  </si>
  <si>
    <t>System Handover and Documentation</t>
  </si>
  <si>
    <t>Air Conditioning Total System Efficiency</t>
  </si>
  <si>
    <t>PART 5 – ADVANCED GREEN EFFORTS</t>
  </si>
  <si>
    <t>Lighting System Efficiency</t>
  </si>
  <si>
    <t>Enhanced Performance</t>
  </si>
  <si>
    <t>Carpark System Energy</t>
  </si>
  <si>
    <t>Demonstrating Cost Effective Design</t>
  </si>
  <si>
    <t>Receptacle Energy</t>
  </si>
  <si>
    <t>Complementary Certifications</t>
  </si>
  <si>
    <t>Social Benefits</t>
  </si>
  <si>
    <t>Building Energy</t>
  </si>
  <si>
    <t>RENEWABLE ENERGY</t>
  </si>
  <si>
    <t>Solar Energy Feasibility Study</t>
  </si>
  <si>
    <t>GREEN MARK TOTAL</t>
  </si>
  <si>
    <t>Solar Ready Roof</t>
  </si>
  <si>
    <t>Adoption of Renewable Energy</t>
  </si>
  <si>
    <t xml:space="preserve">GREEN MARK AWARD LEVEL </t>
  </si>
  <si>
    <t>PART 3 – RESOURCE STEWARDSHIP</t>
  </si>
  <si>
    <t>Water Efficient Fittings</t>
  </si>
  <si>
    <t>WATER</t>
  </si>
  <si>
    <t>Water Efficient Systems</t>
  </si>
  <si>
    <t>Water Monitoring</t>
  </si>
  <si>
    <t>Alternative Water Sources</t>
  </si>
  <si>
    <t>MATERIALS</t>
  </si>
  <si>
    <t>Sustainable Construction</t>
  </si>
  <si>
    <t>Embodied Carbon</t>
  </si>
  <si>
    <t>Sustainable Products</t>
  </si>
  <si>
    <t>WASTE</t>
  </si>
  <si>
    <t>Environmental Construction Management Plan</t>
  </si>
  <si>
    <t>Operational Waste Management</t>
  </si>
  <si>
    <t xml:space="preserve">PRE-REQUISITES </t>
  </si>
  <si>
    <t>COMPLY</t>
  </si>
  <si>
    <t>COMMENTS</t>
  </si>
  <si>
    <t>AVAILABLE 
POINTS</t>
  </si>
  <si>
    <t>POINTS 
SCORED</t>
  </si>
  <si>
    <t>Integrative Design Process</t>
  </si>
  <si>
    <t>Environmental Credentials of Project Team</t>
  </si>
  <si>
    <t>(ii) Tree Conservation</t>
  </si>
  <si>
    <t>(iv) Sustainable Storm Water Management</t>
  </si>
  <si>
    <t>PART 1 – SCORE</t>
  </si>
  <si>
    <t>Additional Notes:</t>
  </si>
  <si>
    <t>PART 2 – SCORE</t>
  </si>
  <si>
    <t>(ii) Water Consumption of Cooling Towers</t>
  </si>
  <si>
    <t>(ii) Water Usage Portal and Dashboard</t>
  </si>
  <si>
    <t>(ii) Resource Efficient Building Design</t>
  </si>
  <si>
    <t>PART 3 – SCORE</t>
  </si>
  <si>
    <t>PART 4 – SMART &amp; HEALTHY BUILDING</t>
  </si>
  <si>
    <t>Low Volatile Organic Compound (VOC) Paint</t>
  </si>
  <si>
    <t>Permanent Instrumentation for the M&amp;V of Air Conditioning Systems</t>
  </si>
  <si>
    <t>(I) Indoor Air Quality (IAQ) Surveillance Audit</t>
  </si>
  <si>
    <t>(ii) Post Occupancy Evaluation</t>
  </si>
  <si>
    <t>(ii) Enhanced Filtration Media</t>
  </si>
  <si>
    <t>(iii) More Stringent VOC limits for Interior Fittings and Finishes</t>
  </si>
  <si>
    <t>(ii) Acoustic Report</t>
  </si>
  <si>
    <t>(ii) BAS and Controllers with Open Protocol</t>
  </si>
  <si>
    <t>(ii) Lighting Demand Control</t>
  </si>
  <si>
    <t xml:space="preserve">Integration and Analytics </t>
  </si>
  <si>
    <t>PART 4 – SCORE</t>
  </si>
  <si>
    <t>PART 5 – Advanced Green Efforts</t>
  </si>
  <si>
    <t>ENHANCED PERFORMANCE</t>
  </si>
  <si>
    <t>Climatic Responsive Design</t>
  </si>
  <si>
    <t>Building Energy Performance</t>
  </si>
  <si>
    <t>Resource Stewardship</t>
  </si>
  <si>
    <t>Smart &amp; Healthy Building</t>
  </si>
  <si>
    <t>Other Enhanced Performance criteria proposed</t>
  </si>
  <si>
    <t xml:space="preserve">Cost Effective design </t>
  </si>
  <si>
    <t>Cost Neutral Design</t>
  </si>
  <si>
    <t>COMPLEMENTARY CERTIFICATIONS</t>
  </si>
  <si>
    <t>SOCIAL BENEFITS</t>
  </si>
  <si>
    <t>PART 5 SCORE</t>
  </si>
  <si>
    <t>Permanent Instrumentation for M&amp;V of AC</t>
  </si>
  <si>
    <t>Minimum Requirement for GoldPlus and Platinum at 1 point</t>
  </si>
  <si>
    <t>Minimum Requirement for GoldPlus and Platinum at 2 points</t>
  </si>
  <si>
    <t>Minimum Requirement for Gold, GoldPlus and Platinum at 1 point</t>
  </si>
  <si>
    <t>Minimum Requirement for GoldPlus and Platinum at 2 points for Commercial buildings, 1 point for others</t>
  </si>
  <si>
    <t xml:space="preserve">Demonstration of how the site topography, microclimate, access and connectivity has informed the development of building design.
• Level 1 site analysis and design that demonstrates sensitivity to site conditions
• Level 2 analysis and optimised design via iterative simulation
</t>
  </si>
  <si>
    <t>Project has GnPR ≥ 5</t>
  </si>
  <si>
    <t>Minimum Requirement for Gold at 0.5 point, GoldPlus at 2 points, Platinum at 3.5 points</t>
  </si>
  <si>
    <r>
      <t xml:space="preserve">For buildings </t>
    </r>
    <r>
      <rPr>
        <sz val="8"/>
        <rFont val="Calibri"/>
        <family val="2"/>
      </rPr>
      <t>≥</t>
    </r>
    <r>
      <rPr>
        <i/>
        <sz val="8"/>
        <rFont val="Cambria"/>
        <family val="1"/>
      </rPr>
      <t xml:space="preserve"> 1000m2,
Minimum requirement for Gold, GoldPlus and Platinum at 0.5 point</t>
    </r>
  </si>
  <si>
    <t>Minimum Requirement for Gold at 2 points, GoldPlus at 3 points, Platinum at 4 points</t>
  </si>
  <si>
    <t>Minimum Requirement for Gold, GoldPlus and Platinum at 0.5 point</t>
  </si>
  <si>
    <t>Minimum Requirement for GoldPlus and Platinum at 0.5 point</t>
  </si>
  <si>
    <t>Any further improvement from baseline can be further rewarded based on the same formula.</t>
  </si>
  <si>
    <t>Demonstrate its roof design for solar readiness for ≥ 50% of feasible roof area:
• Structural readiness: additional static and wind load
• Electrical readiness
• Spatial readiness</t>
  </si>
  <si>
    <t>(i) Sound Transmission Reduction</t>
  </si>
  <si>
    <t>(i) Biophillic Design</t>
  </si>
  <si>
    <t>(iii) IAQ Display</t>
  </si>
  <si>
    <t>(i) Water Monitoring and Leak Detection</t>
  </si>
  <si>
    <t>(i) Landscape Irrigation</t>
  </si>
  <si>
    <t>(iii) Low Carbon Concrete</t>
  </si>
  <si>
    <t>(i) Functional Systems</t>
  </si>
  <si>
    <t>• Existing structures are conserved and not demolished; OR
• Existing structures are demolished with an enhanced demolition protocol, with recovery rate of &gt; 35%</t>
  </si>
  <si>
    <t>(i) Conservation and Resource Recovery</t>
  </si>
  <si>
    <t>(i) Ventilation Rates</t>
  </si>
  <si>
    <t>(iii) Dedicated Outdoor Air System</t>
  </si>
  <si>
    <t>Provision of UVGI system in AHUs and FCUs to control airborne infective microorganisms.</t>
  </si>
  <si>
    <t>Provision of a dedicated outdoor air system (precool AHU / FCU system).</t>
  </si>
  <si>
    <t>Use of PBT-reduced or –free luminaries for ≥ 90% of light fittings in the project.</t>
  </si>
  <si>
    <t>• Provision of accessible sky gardens, sky terraces, internal courtyards and rooftop gardens
• ≥ 5% of the common areas to have fixed indoor planting
• Building design that adopt biomimicry designs
• Building design that takes after any natural shapes and forms/ creates ecological attachment to the place
• Provision of images of nature for 5% of common areas</t>
  </si>
  <si>
    <t>• UD Mark Certified or Gold Award
• UD Mark GoldPLUS or Platinum Award</t>
  </si>
  <si>
    <t>(i) Energy Portal and Dashboard</t>
  </si>
  <si>
    <t>(i) ACMV Demand Control</t>
  </si>
  <si>
    <t>(i) Basic Integration and Analytics</t>
  </si>
  <si>
    <t>(ii) Advanced Integration and Analytics</t>
  </si>
  <si>
    <t>(iv) Green Transport</t>
  </si>
  <si>
    <t>(iii) Urban Heat Island</t>
  </si>
  <si>
    <t>(ii) Response to Site Context</t>
  </si>
  <si>
    <t>(i) Environmental Analysis</t>
  </si>
  <si>
    <t>(iii) Sustainable Landscape Management</t>
  </si>
  <si>
    <t>Further percentage replacement with renewable energy</t>
  </si>
  <si>
    <r>
      <t xml:space="preserve">Greenery provision to enhance biodiversity and provide visual relief to residents.
</t>
    </r>
    <r>
      <rPr>
        <i/>
        <sz val="8"/>
        <rFont val="Cambria"/>
        <family val="1"/>
      </rPr>
      <t xml:space="preserve">GnPR =  (Total leaf area of greenery within site)/(Total site area)
</t>
    </r>
    <r>
      <rPr>
        <sz val="8"/>
        <rFont val="Cambria"/>
        <family val="1"/>
      </rPr>
      <t xml:space="preserve">GnPR = </t>
    </r>
  </si>
  <si>
    <t>Minimum Requirement for GoldPlus at 0.4m/s, Platinum at 0.6m/s</t>
  </si>
  <si>
    <t xml:space="preserve">Specification and use of green products certified by approved local certification bodies (Singapore Green Building Council, Singapore Environmental Council in Singapore).
Points Scored = </t>
  </si>
  <si>
    <t>IAQ audit carried out within one year after occupancy 
• Audit is based on indicative method described in SS554: 2016.
• Audit is based on the reference method described in SS554: 2016.</t>
  </si>
  <si>
    <t>• Permanent provision of Minimum Efficiency Rating Value (MERV) 14, 
(ASHRAE 52.2) or equivalent to Precool AHU’s (PAU’s)
• Permanent provision of MERV 14 or F8 class of filter or equivalent to all AHUs</t>
  </si>
  <si>
    <t xml:space="preserve">• Provision of local isolation and exhaust systems to remove the source of 
pollutants. The exhausted air shall not be recycled to other spaces. 
• Provision of air purging system </t>
  </si>
  <si>
    <t>Provision of permanent instrument for monitoring of energy efficiency 
performance of VRF condensing units and air distribution subsystem.
Calculated system efficiency shall be within 10% uncertainty.</t>
  </si>
  <si>
    <r>
      <t xml:space="preserve">Use of products which are SGBP-certified Very Good or above, covering </t>
    </r>
    <r>
      <rPr>
        <sz val="8"/>
        <rFont val="Calibri"/>
        <family val="2"/>
      </rPr>
      <t>≥</t>
    </r>
    <r>
      <rPr>
        <sz val="8"/>
        <rFont val="Cambria"/>
        <family val="1"/>
      </rPr>
      <t xml:space="preserve">80% of applicable areas within a System.
Points Scored = </t>
    </r>
  </si>
  <si>
    <t>Certified</t>
  </si>
  <si>
    <t>Merit</t>
  </si>
  <si>
    <t>Excellent</t>
  </si>
  <si>
    <t>DATA INPUT</t>
  </si>
  <si>
    <t>3-Tick</t>
  </si>
  <si>
    <t>Provide display systems for temperature and relative humidity at each floor and at each tenanted area.</t>
  </si>
  <si>
    <t>Achievement of good lighting quality for ≥ 90% of the applicable functional areas, served by the relevant luminaries.
• Minimum lifespan rating of L70 ≥ 50,000 life hours
• Ensuring a regular colour temperature for functional areas
• Lighting design to avoid flicker and stroboscopic effects
• Meeting minimum colour rendering index
• LED luminaries certified by SGBP</t>
  </si>
  <si>
    <t>An acoustic design and verification report for the project based on the GM NRB: 2015 Technical Guide and Requirements.</t>
  </si>
  <si>
    <t>Binary Sensing</t>
  </si>
  <si>
    <t>Occupancy-based Sensing</t>
  </si>
  <si>
    <t>Engagement with a SGBC-Accredited Energy Performance Contracting (EPC) firm in a suitable project that guarantees operational system efficiency over a minimum of 3 years.</t>
  </si>
  <si>
    <t xml:space="preserve">Name of Certificate and description – eg WELL, Earthcheck etc
</t>
  </si>
  <si>
    <t>Name of  cert</t>
  </si>
  <si>
    <t>Exemplify how the project  demonstrated social benefits.</t>
  </si>
  <si>
    <t xml:space="preserve">Ozone Depleting Potential = 
Global Warming Potential = </t>
  </si>
  <si>
    <t>GREEN MARK AWARD TARGET:</t>
  </si>
  <si>
    <t>N.A.</t>
  </si>
  <si>
    <t>Platinum</t>
  </si>
  <si>
    <t>AVAILABLE POINTS</t>
  </si>
  <si>
    <t xml:space="preserve">Current Version </t>
  </si>
  <si>
    <t>History of amendments</t>
  </si>
  <si>
    <t>S/N</t>
  </si>
  <si>
    <t>Version No.</t>
  </si>
  <si>
    <t>Remarks/Brief Description of changes</t>
  </si>
  <si>
    <t>Effective date</t>
  </si>
  <si>
    <t xml:space="preserve">  </t>
  </si>
  <si>
    <t>14th Mar 2018</t>
  </si>
  <si>
    <t>Amended computation for 4.01b(iv)</t>
  </si>
  <si>
    <t>Score Card_ GM2015_R1.01</t>
  </si>
  <si>
    <t>• Preservation of existing trees on-site to prevent disturbance to established habitats
• Replanting of an equivalent number of equivalent LAI for felled trees</t>
  </si>
  <si>
    <t>Score Card_ GM2015_R1.02</t>
  </si>
  <si>
    <t>Corrected text for 1.02b(ii)</t>
  </si>
  <si>
    <t>1st Apr 2018</t>
  </si>
  <si>
    <t>P.1</t>
  </si>
  <si>
    <t>P.2</t>
  </si>
  <si>
    <t>P.3</t>
  </si>
  <si>
    <t>1.1a</t>
  </si>
  <si>
    <t>1.1b</t>
  </si>
  <si>
    <t>1.1c</t>
  </si>
  <si>
    <t>1.1d</t>
  </si>
  <si>
    <t>1.2a</t>
  </si>
  <si>
    <t>1.2b</t>
  </si>
  <si>
    <t>1.3a</t>
  </si>
  <si>
    <t>1.3b</t>
  </si>
  <si>
    <t>1.3c</t>
  </si>
  <si>
    <t>P.4</t>
  </si>
  <si>
    <t>P.5</t>
  </si>
  <si>
    <t>P.6</t>
  </si>
  <si>
    <t>2.1a</t>
  </si>
  <si>
    <t>2.1b</t>
  </si>
  <si>
    <t>2.1c</t>
  </si>
  <si>
    <t>2.1d</t>
  </si>
  <si>
    <t>2.2a</t>
  </si>
  <si>
    <t>P.7</t>
  </si>
  <si>
    <t>3.1a</t>
  </si>
  <si>
    <t>3.1b</t>
  </si>
  <si>
    <t>3.1c</t>
  </si>
  <si>
    <t>3.2a</t>
  </si>
  <si>
    <t>3.2b</t>
  </si>
  <si>
    <t>3.2c</t>
  </si>
  <si>
    <t>3.3a</t>
  </si>
  <si>
    <t>3.3b</t>
  </si>
  <si>
    <t>P.8</t>
  </si>
  <si>
    <t>P.9</t>
  </si>
  <si>
    <t>4.1a</t>
  </si>
  <si>
    <t>4.1b</t>
  </si>
  <si>
    <t>4.1c</t>
  </si>
  <si>
    <t>4.3a</t>
  </si>
  <si>
    <t>4.3b</t>
  </si>
  <si>
    <t>4.3c</t>
  </si>
  <si>
    <t>4.3d</t>
  </si>
  <si>
    <t>(i) Greenery Provision</t>
  </si>
  <si>
    <t>2.1e</t>
  </si>
  <si>
    <t>Further Improvement in Design Energy Consumption (Advanced Green Efforts)</t>
  </si>
  <si>
    <t>2.1f</t>
  </si>
  <si>
    <t>Efficient Space Conditioning Energy Design (Advanced Green Efforts)</t>
  </si>
  <si>
    <t>2.1g</t>
  </si>
  <si>
    <t>Efficient Lighting Design (Advanced Green Efforts)</t>
  </si>
  <si>
    <t>2.1h</t>
  </si>
  <si>
    <t>Energy Efficient Practices and Features (Advanced Green Efforts)</t>
  </si>
  <si>
    <r>
      <t xml:space="preserve">Energy Performance Points Calculator shall be used to calculate the savings of the car park energy systems. For projects with no carpark, full points will be given.
</t>
    </r>
    <r>
      <rPr>
        <i/>
        <sz val="8"/>
        <rFont val="Cambria"/>
        <family val="1"/>
      </rPr>
      <t xml:space="preserve">(0.05 point for every % improvement from baseline, up to 2 points)
</t>
    </r>
    <r>
      <rPr>
        <sz val="8"/>
        <rFont val="Cambria"/>
        <family val="1"/>
      </rPr>
      <t>% Improvement from baseline =                        %</t>
    </r>
  </si>
  <si>
    <r>
      <t xml:space="preserve">Baseline = Maximum lighting power budget stated in SS530 : 2014
</t>
    </r>
    <r>
      <rPr>
        <i/>
        <sz val="8"/>
        <rFont val="Cambria"/>
        <family val="1"/>
      </rPr>
      <t xml:space="preserve">(0.1 point for every % improvement from baseline, up to 3 points)
</t>
    </r>
    <r>
      <rPr>
        <sz val="8"/>
        <rFont val="Cambria"/>
        <family val="1"/>
      </rPr>
      <t>% Improvement from baseline =                     %</t>
    </r>
  </si>
  <si>
    <t>Further Electricity Replacement by Renewables (Advanced Green Efforts)</t>
  </si>
  <si>
    <t>Better Water Efficient Fittings (Advanced Green Efforts)</t>
  </si>
  <si>
    <r>
      <t xml:space="preserve">• Served by water efficient irrigation systems with moisture or rain sensor control - </t>
    </r>
    <r>
      <rPr>
        <i/>
        <sz val="8"/>
        <rFont val="Cambria"/>
        <family val="1"/>
      </rPr>
      <t xml:space="preserve">0.5 point for every 25% of the areas
</t>
    </r>
    <r>
      <rPr>
        <sz val="8"/>
        <rFont val="Cambria"/>
        <family val="1"/>
      </rPr>
      <t xml:space="preserve">% Area served by Water-efficient Systems =                            %
• Comprised of drought tolerant plants - </t>
    </r>
    <r>
      <rPr>
        <i/>
        <sz val="8"/>
        <rFont val="Cambria"/>
        <family val="1"/>
      </rPr>
      <t xml:space="preserve">0.5 point for every 20% of the area
</t>
    </r>
    <r>
      <rPr>
        <sz val="8"/>
        <rFont val="Cambria"/>
        <family val="1"/>
      </rPr>
      <t>% Area served by Drought Tolerant plants =                             %</t>
    </r>
  </si>
  <si>
    <t>Use of BIM to calculate CUI (Advanced Green Efforts)</t>
  </si>
  <si>
    <t>Provide own Emission Factors with Source Justification (Advanced Green Efforts)</t>
  </si>
  <si>
    <t>Compute the Carbon Footprint of the Entire Development (Advanced Green Efforts)</t>
  </si>
  <si>
    <t>Develop detailed carbon footprint report based on ALL the materials used within the project</t>
  </si>
  <si>
    <t>Indoor Air Quality Trending (Advanced Green Efforts)</t>
  </si>
  <si>
    <t>• Projects certified under PUB Active, Beautiful and Clean Waters (ABC Waters) certification; OR
• Treatment of runoff from total site area =                               %</t>
  </si>
  <si>
    <t>% Greenery on Applicable Façade Area =                                %</t>
  </si>
  <si>
    <t xml:space="preserve">• Provision of private meters for all major water uses ( table 3.1b-1)
• Use of smart remote metering system with alert features for leak detections and monitoring purpose. </t>
  </si>
  <si>
    <t>4.2a</t>
  </si>
  <si>
    <t>4.2b</t>
  </si>
  <si>
    <t>4.2c</t>
  </si>
  <si>
    <t>Use of BACnet, Modbus, or any other non-proprietary protocol as the network backbone that can provide scheduled export of any chosen data points to commonly used file formats</t>
  </si>
  <si>
    <t>Permanent M&amp;V for VRF systems (Advanced Green Efforts)</t>
  </si>
  <si>
    <t>Additional Advanced Integration and Analytical Features (Advanced Green Efforts)</t>
  </si>
  <si>
    <t>Proper system verification and handover is executed. Project demonstrates  commitment to comply to verification requirements.</t>
  </si>
  <si>
    <t>Expanded Post Occupancy Performance Verification by a 3rd Party (Advanced Green Efforts)</t>
  </si>
  <si>
    <t>Energy Performance Contracting (Advanced Green Efforts)</t>
  </si>
  <si>
    <t>4D, 5D &amp; 6D BIM (Advanced Green Efforts)</t>
  </si>
  <si>
    <t>Low heat gain façade (Advanced Green Efforts)</t>
  </si>
  <si>
    <t>Vertical Greenery on the East and West Façade (Advanced Green Efforts)</t>
  </si>
  <si>
    <t>Thermal Bridging (Advanced Green Efforts)</t>
  </si>
  <si>
    <t>Use of wind driven rain simulation modelling to identify the most effective building design and layout that minimises the impact of wind-driven rain into naturally-ventilated occupied spaces</t>
  </si>
  <si>
    <t>GnPR ≥ 5.0 (Advanced Green Efforts)</t>
  </si>
  <si>
    <r>
      <t xml:space="preserve">Baseline for the following building cooling load (RT):
• &lt; 500 RT = 1.08
• ≥ 500 RT = 0.98
Points can only be scored if the air distribution system efficiency does not exceed 0.28 kW/RT
</t>
    </r>
    <r>
      <rPr>
        <i/>
        <sz val="8"/>
        <rFont val="Cambria"/>
        <family val="1"/>
      </rPr>
      <t xml:space="preserve">(0.2 point for every % improvement from baseline, up to 5 points)
</t>
    </r>
    <r>
      <rPr>
        <sz val="8"/>
        <rFont val="Cambria"/>
        <family val="1"/>
      </rPr>
      <t>% Improvement from baseline =                             %</t>
    </r>
  </si>
  <si>
    <t>• Achieving 0.65kW/ton TDSE
• Achieving 0.70kW/ton TDSE</t>
  </si>
  <si>
    <t xml:space="preserve"> % Improvement from baseline =                               %</t>
  </si>
  <si>
    <t>• Achieving 40% Improvement
• Achieving 50% Improvement</t>
  </si>
  <si>
    <t>(i) Receptacle Load Efficiency</t>
  </si>
  <si>
    <t>(ii) Carpark Ventilation Energy</t>
  </si>
  <si>
    <t>(iii) Energy Use Intensity</t>
  </si>
  <si>
    <t>Met the 25th percentile of BCA's BEBR</t>
  </si>
  <si>
    <t>(iv) Energy Efficient Practices and Features</t>
  </si>
  <si>
    <t xml:space="preserve">% Improvement from baseline X % of functional area =                         %
</t>
  </si>
  <si>
    <t>• Use of better WELS rated water efficient fittings used for 100% of basin taps &amp; mixer &amp; dual flush flushing cisterns
• Use of better WELS rated water efficient fittings used for 100% of applicable fitings as prescribed in P.7.</t>
  </si>
  <si>
    <t>• Provision of water portal, dashboard or other equivalent forms that display metered data and trending of water consumption and cost indices by area to building management
• Systems that display specific trends easily made accessible to individual tenants</t>
  </si>
  <si>
    <t>BIM is used to compute CUI</t>
  </si>
  <si>
    <r>
      <t xml:space="preserve">Computation of the carbon footprint using BCA Online Embodied Carbon Calculator
• Declaration of concrete, glass and steel (1 point)
• Declaration of additional materials
</t>
    </r>
    <r>
      <rPr>
        <i/>
        <sz val="8"/>
        <rFont val="Cambria"/>
        <family val="1"/>
      </rPr>
      <t xml:space="preserve">(0.25 points per material, up to 1 point)
</t>
    </r>
    <r>
      <rPr>
        <sz val="8"/>
        <rFont val="Cambria"/>
        <family val="1"/>
      </rPr>
      <t xml:space="preserve">No. of Additional Materials declared = </t>
    </r>
  </si>
  <si>
    <r>
      <t xml:space="preserve">Use of products with a very good rating (2 ticks) or above under SGBP certification scheme, as part of the functional systems or as standalone products scored under 3.2c(ii), covering </t>
    </r>
    <r>
      <rPr>
        <sz val="8"/>
        <rFont val="Calibri"/>
        <family val="2"/>
      </rPr>
      <t>≥</t>
    </r>
    <r>
      <rPr>
        <sz val="8"/>
        <rFont val="Cambria"/>
        <family val="1"/>
      </rPr>
      <t xml:space="preserve"> 80% of applicable area.
No. of Very Good Products (2-tick) = </t>
    </r>
    <r>
      <rPr>
        <b/>
        <sz val="8"/>
        <rFont val="Cambria"/>
        <family val="1"/>
      </rPr>
      <t xml:space="preserve">
</t>
    </r>
    <r>
      <rPr>
        <sz val="8"/>
        <rFont val="Cambria"/>
        <family val="1"/>
      </rPr>
      <t xml:space="preserve">No. of Excellent Products (3-tick) = 
No. of Leader Products (4-tick) = </t>
    </r>
  </si>
  <si>
    <t>Effective implementation of environmental friendly programmes/ best 
practices during construction through setting targets, recording and monitoring, and waste minimisation.</t>
  </si>
  <si>
    <t>Sustainable Products with Higher Environment Credentials (Advanced Green Efforts)</t>
  </si>
  <si>
    <t>• Provision of monitoring and trend logging of temperature, relative humidity through a centralized system
• Monitoring and trend logging of common indoor air pollutants (formaldehyde) at each floor</t>
  </si>
  <si>
    <t>Permanent M&amp;V for Hot Water systems (Advanced Green Efforts)</t>
  </si>
  <si>
    <t>Incorporation of Permanent Measurement and Verification, with performance requirement similar to P.14.</t>
  </si>
  <si>
    <t>Additional advanced Integration and Analytical Features beyond the points cap</t>
  </si>
  <si>
    <t xml:space="preserve">Mitigation of UHI effect through material selection of hardscape, softscape and building surfaces.
% Site Coverage with demonstration of mitigation measures =                                                 
                             %                          </t>
  </si>
  <si>
    <t>(i) Integrative Team</t>
  </si>
  <si>
    <t xml:space="preserve">Establishment of collaborative framework for the project team during the briefing, concept design and technical design phase to address the various needs of all stakeholders to achieve the common targets results in a more balanced and optimized design outcome. </t>
  </si>
  <si>
    <t>(ii) Involvement of FM Manager</t>
  </si>
  <si>
    <t>(iii) Use of BIM</t>
  </si>
  <si>
    <t xml:space="preserve">• Without CO Sensor / Fume Extract =                          %
• Wtih CO Sensor / Fume Extract
• Natural Ventilation
</t>
  </si>
  <si>
    <t>Involve Facility Manager (FM) in the design stage and incorporating his inputs into design.</t>
  </si>
  <si>
    <t>Coordinated use of BIM between various parties (the Architect, MEP Engineers and Structural Engineer) in the construction value chain for clash detection purposes.
• Collaborative BIM
• Green BIM</t>
  </si>
  <si>
    <t>(i) 4D BIM (Time)
(ii) 5D BIM (Cost)
(iii) 6D BIM (Facilities management)</t>
  </si>
  <si>
    <t>Wind Driven Rain Simulation (Advanced Green Efforts)</t>
  </si>
  <si>
    <t xml:space="preserve">% improvement from baseline total building consumption =                         %   </t>
  </si>
  <si>
    <t>• AHU condensate collection where &gt; 50% total condensate is collected
• Use of NEWater
• On-site recycled water
• Rainwater harvesting</t>
  </si>
  <si>
    <r>
      <t xml:space="preserve">Use of sustainable products that do not fall into the functional systems in 3.2c(i). All sustainable products must cover </t>
    </r>
    <r>
      <rPr>
        <sz val="8"/>
        <rFont val="Calibri"/>
        <family val="2"/>
      </rPr>
      <t>≥</t>
    </r>
    <r>
      <rPr>
        <sz val="8"/>
        <rFont val="Cambria"/>
        <family val="1"/>
      </rPr>
      <t xml:space="preserve"> 80% of applicable area and be certified by an approved local certification body.
</t>
    </r>
    <r>
      <rPr>
        <i/>
        <sz val="8"/>
        <rFont val="Cambria"/>
        <family val="1"/>
      </rPr>
      <t>(0.25 point for each Hardscape, Building Service and M&amp;E Product, up to 2 points)</t>
    </r>
    <r>
      <rPr>
        <sz val="8"/>
        <rFont val="Cambria"/>
        <family val="1"/>
      </rPr>
      <t xml:space="preserve">
No. of Singular Products = </t>
    </r>
  </si>
  <si>
    <t>Seeking of occupant feedback through POE as a guide to improve the quality of the internal environment within one year after occupancy</t>
  </si>
  <si>
    <r>
      <rPr>
        <u/>
        <sz val="8"/>
        <rFont val="Cambria"/>
        <family val="1"/>
      </rPr>
      <t>Measurement and Monitoring of Outdoor Air Volume:</t>
    </r>
    <r>
      <rPr>
        <sz val="8"/>
        <rFont val="Cambria"/>
        <family val="1"/>
      </rPr>
      <t xml:space="preserve">
• Outdoor airflow measured at Precool Air Handling Units (PAU) and Precool 
Fan Coil Units (PFCU) only;  OR
• Outdoor airflow measured at all air handling units (HAU) and fan coil units (FCU)
</t>
    </r>
    <r>
      <rPr>
        <u/>
        <sz val="8"/>
        <rFont val="Cambria"/>
        <family val="1"/>
      </rPr>
      <t>Demand Control Ventilation Strategy</t>
    </r>
    <r>
      <rPr>
        <sz val="8"/>
        <rFont val="Cambria"/>
        <family val="1"/>
      </rPr>
      <t xml:space="preserve">
• Use of demand control ventilation strategies to improve air quality whilst conserving energy</t>
    </r>
  </si>
  <si>
    <t>Project demonstrates that the acoustic performance of internal partitions will be constructed to achieve Sound Transmission Class (STC) of:
• 40-50 for partitions between general Office Spaces; and
• 50-60 for partitions between spaces where confidential speech is required, or between M&amp;E and occupied spaces.</t>
  </si>
  <si>
    <t>DEMONSTRATING COST EFFECTIVE DESIGN</t>
  </si>
  <si>
    <t>Score Card_GM2015_R2</t>
  </si>
  <si>
    <t>Reflect latest criteria, released on 1 Aug 2018</t>
  </si>
  <si>
    <t>1st Aug 2018</t>
  </si>
  <si>
    <t>Zero ODP Refrigerants with Low Global Warming Potential (Advanced Green Efforts)</t>
  </si>
  <si>
    <t>Create climatic and culturally responsive brief including target setting. This could also include the client’s sustainable aspirations for the project, and identification of its green potential benchmarked against similar projects</t>
  </si>
  <si>
    <t>2.2c</t>
  </si>
  <si>
    <t>2.2b</t>
  </si>
  <si>
    <t xml:space="preserve">A framework to guide project teams in making environmental impact decisions to prevent unnecessary site degradation.
• Environmental Study
• Conducting an Environmental Impact Assessment by 3rd Party (EIA)
</t>
  </si>
  <si>
    <t>Creation of possible new ecology and natural ecosystems (Advanced Green Efforts)</t>
  </si>
  <si>
    <t>Project provides details and strategies in the EIA on how the project will enhance the site ecology beyond its current state. Regenerative features should be quantified in terms of overall net performance vs the building not being constructed and the current remaining site. Agreed metrics shall be used and tracked during project completion.</t>
  </si>
  <si>
    <t>• Projects certified under NParks Landscape Excellence Assessment Framework (LEAF) certification;  OR
• Adoption of native species of greenery for &gt; 50% of selected flora
• Projects that scored full points under 1.2a(i) Environmental Impact Assessment (EIA)
• Provision of landscape management plan</t>
  </si>
  <si>
    <t>• Meeting / exceeding the limits in Table 1.3a-2 and Table 1.3a3
• Meeting / exceeding limits in Table 1.3a-1 and Table 1.3b-1 through building simulation 
Points Scored =</t>
  </si>
  <si>
    <r>
      <t>Achieving ETTV &lt; 35W/m</t>
    </r>
    <r>
      <rPr>
        <vertAlign val="superscript"/>
        <sz val="8"/>
        <rFont val="Cambria"/>
        <family val="1"/>
      </rPr>
      <t>2</t>
    </r>
  </si>
  <si>
    <t>Use of SGBC-certified thermal break / insulation profiles to achieve U-values of &lt; 6.0W/m2 K for ≥ 80% of external facades adjoining air-conditioned interiors</t>
  </si>
  <si>
    <t>Internal Spatial Organisation</t>
  </si>
  <si>
    <t>Air Conditioning Total System and Component Efficiency</t>
  </si>
  <si>
    <r>
      <t xml:space="preserve">Reduction of the total energy of the base building, calculated with Energy Performance Points Calculator. 
</t>
    </r>
    <r>
      <rPr>
        <i/>
        <sz val="8"/>
        <rFont val="Cambria"/>
        <family val="1"/>
      </rPr>
      <t xml:space="preserve">(Points Rewarded = (% improvement from baseline) / 3, up to 11 points)
</t>
    </r>
    <r>
      <rPr>
        <sz val="8"/>
        <rFont val="Cambria"/>
        <family val="1"/>
      </rPr>
      <t>% Improvement from baseline / 3 =                            %</t>
    </r>
  </si>
  <si>
    <t>OPTION 1: Energy Performance Points Calculator (Pls check if score based on this option)</t>
  </si>
  <si>
    <t>OPTION 2: Performance-Based Computation (Pls check if score based on this option)</t>
  </si>
  <si>
    <t xml:space="preserve">• Natural Ventilation
</t>
  </si>
  <si>
    <t xml:space="preserve">        % of functional area as NV =                        %
        Design as Natural Ventilated
        Score for 1.3c</t>
  </si>
  <si>
    <t xml:space="preserve">• Mechanical Ventilation
</t>
  </si>
  <si>
    <t xml:space="preserve">         % of functional area as AC =                        %       
         % Improvement from baseline =                       %</t>
  </si>
  <si>
    <t xml:space="preserve">         % of functional area as MV =                        %       
         % improvement from baseline stated in SS553 =                        %        </t>
  </si>
  <si>
    <t>• Air-Conditioning</t>
  </si>
  <si>
    <t>(ii) Singular Sustainable Products (outside of Functional Systems)</t>
  </si>
  <si>
    <t>• Provision of cooling tower water treatment with effective filtration system that can facilitate ≥ 7 cycles of concentration (CoC) at acceptable water quality.
• Provision of device to reduce heat rejection through cooling towers</t>
  </si>
  <si>
    <t>Electrical Sub-Metering and Metering</t>
  </si>
  <si>
    <t>% Improvement from baseline =                         %</t>
  </si>
  <si>
    <t>% of functional area =                         %</t>
  </si>
  <si>
    <t>1 point for every 3% improvement above 4% improvement from baseline total building consumption (as above)</t>
  </si>
  <si>
    <t>Prepare a solar feasibility report detailing:
• Roof characteristics and shading considerations
• Technical Solar Energy generation potential
• Economics of solar installation
• Roof access and safety requirements
• Roof spatial optimisation recommendations</t>
  </si>
  <si>
    <t>Uncertified</t>
  </si>
  <si>
    <t>1-Tick</t>
  </si>
  <si>
    <t>2-Tick</t>
  </si>
  <si>
    <t>4-Tick</t>
  </si>
  <si>
    <t>NA</t>
  </si>
  <si>
    <r>
      <t xml:space="preserve">Use of concrete with low clinker content (≤400kg/m^3) for grades up to C50/60 for ≥ 80% of the superstructure concrete by volume.
Concrete Category:                 
Use of recycled/ engineered coarse aggregates for </t>
    </r>
    <r>
      <rPr>
        <sz val="8"/>
        <rFont val="Calibri"/>
        <family val="2"/>
      </rPr>
      <t>≥</t>
    </r>
    <r>
      <rPr>
        <sz val="8"/>
        <rFont val="Cambria"/>
        <family val="1"/>
      </rPr>
      <t xml:space="preserve"> 1.5% x GFA and/or ≥ 0.75% x GFA for use of recycled/ engineered fine aggregates.
</t>
    </r>
    <r>
      <rPr>
        <i/>
        <sz val="8"/>
        <rFont val="Cambria"/>
        <family val="1"/>
      </rPr>
      <t>(0.5 points for every 5% replacement by mass of coarse and fine aggregates, up to 3 points)</t>
    </r>
    <r>
      <rPr>
        <sz val="8"/>
        <rFont val="Cambria"/>
        <family val="1"/>
      </rPr>
      <t xml:space="preserve">
Percentage Replacement of coarse aggregates =                         %</t>
    </r>
  </si>
  <si>
    <t>Percentage Replacement of fine aggregates =                         %</t>
  </si>
  <si>
    <t>Use of SGBC-certified 4-Tick concrete</t>
  </si>
  <si>
    <t>7 to 9</t>
  </si>
  <si>
    <t>Reduction of power consumption from the grid and building’s carbon emissions by using renewable energy.
EUI ≥ 220 - 1 point for every 0.5%
50 ≤ EUI &lt; 220 - 1 point for every 1.25%
EUI &lt; 50 - 1 point for every 2.5%
EUI = 
% Replacement of Power Consumption with Renewable Energy 
=                        %</t>
  </si>
  <si>
    <t xml:space="preserve">0
</t>
  </si>
  <si>
    <t>Building Type</t>
  </si>
  <si>
    <t>NSB</t>
  </si>
  <si>
    <t>SB w T</t>
  </si>
  <si>
    <t>SB w/o T</t>
  </si>
  <si>
    <r>
      <t xml:space="preserve">Speculative building(s) with tenanted areas &amp; </t>
    </r>
    <r>
      <rPr>
        <sz val="8"/>
        <rFont val="Calibri"/>
        <family val="2"/>
      </rPr>
      <t>≥</t>
    </r>
    <r>
      <rPr>
        <sz val="10.4"/>
        <rFont val="Cambria"/>
        <family val="1"/>
      </rPr>
      <t xml:space="preserve"> </t>
    </r>
    <r>
      <rPr>
        <sz val="8"/>
        <rFont val="Cambria"/>
        <family val="1"/>
      </rPr>
      <t>60% coverage</t>
    </r>
  </si>
  <si>
    <r>
      <t xml:space="preserve">Non-speculative building(s) &amp; </t>
    </r>
    <r>
      <rPr>
        <sz val="8"/>
        <rFont val="Calibri"/>
        <family val="2"/>
      </rPr>
      <t>≥</t>
    </r>
    <r>
      <rPr>
        <sz val="10.4"/>
        <rFont val="Cambria"/>
        <family val="1"/>
      </rPr>
      <t xml:space="preserve"> </t>
    </r>
    <r>
      <rPr>
        <sz val="8"/>
        <rFont val="Cambria"/>
        <family val="1"/>
      </rPr>
      <t>60% coverage</t>
    </r>
  </si>
  <si>
    <r>
      <t xml:space="preserve">Speculative building(s) without tenanted areas &amp; </t>
    </r>
    <r>
      <rPr>
        <sz val="8"/>
        <rFont val="Calibri"/>
        <family val="2"/>
      </rPr>
      <t>≥</t>
    </r>
    <r>
      <rPr>
        <sz val="10.4"/>
        <rFont val="Cambria"/>
        <family val="1"/>
      </rPr>
      <t xml:space="preserve"> 8</t>
    </r>
    <r>
      <rPr>
        <sz val="8"/>
        <rFont val="Cambria"/>
        <family val="1"/>
      </rPr>
      <t>0% coverage</t>
    </r>
  </si>
  <si>
    <t>Key total point here or do scoring below</t>
  </si>
  <si>
    <t>Entered score becomes invalid once building type is selected. Select "NA" for building type to allow total score to be keyed in directly.</t>
  </si>
  <si>
    <t>Scoring based on total point keyed above</t>
  </si>
  <si>
    <t xml:space="preserve">                                                   External Wall (Base, Finish)</t>
  </si>
  <si>
    <t xml:space="preserve">                                                   Internal Wall (Base, Finish)</t>
  </si>
  <si>
    <t xml:space="preserve">                                                   Flooring (Base, Finish)</t>
  </si>
  <si>
    <t xml:space="preserve">                                                   Doors (Base, Finish)</t>
  </si>
  <si>
    <t xml:space="preserve">                                                   Ceiling (Base, Finish)</t>
  </si>
  <si>
    <t xml:space="preserve">                                                   Roofing (Base, Finish)</t>
  </si>
  <si>
    <r>
      <rPr>
        <sz val="12"/>
        <rFont val="Cambria"/>
        <family val="1"/>
      </rPr>
      <t xml:space="preserve"> </t>
    </r>
    <r>
      <rPr>
        <sz val="8"/>
        <rFont val="Cambria"/>
        <family val="1"/>
      </rPr>
      <t xml:space="preserve">
Selected</t>
    </r>
  </si>
  <si>
    <t>(i) Local Exhaust and Air Purging System</t>
  </si>
  <si>
    <t>(ii) Ultraviolet Germicidal Irradiation (UVGI) System</t>
  </si>
  <si>
    <t>(iv) Use of Persistent Bio-Cummulative and Toxic (PBT) free lighting</t>
  </si>
  <si>
    <t>(i) Effective Daylighting for Common Areas</t>
  </si>
  <si>
    <t>(iii) Quality of Artificial Lighting</t>
  </si>
  <si>
    <t>(ii) Universal Design (UD) Mark</t>
  </si>
  <si>
    <t>• Display metered data, historical data and relevant parameters
• Provision of portal to tenants showing energy consumption of their leased spaces</t>
  </si>
  <si>
    <t>Within 1 year from TOP, performance verification of energy subsystems:
• Lighting controls
• Mechanical ventilation
• Hot water system
• Heat recovery system
• Renewable energy systems</t>
  </si>
  <si>
    <t>Binary</t>
  </si>
  <si>
    <t>Occupancy-based</t>
  </si>
  <si>
    <r>
      <t xml:space="preserve">Use of occupancy based controls of the temperature and ventilation 
demand for </t>
    </r>
    <r>
      <rPr>
        <sz val="8"/>
        <rFont val="Calibri"/>
        <family val="2"/>
      </rPr>
      <t>≥</t>
    </r>
    <r>
      <rPr>
        <sz val="8"/>
        <rFont val="Cambria"/>
        <family val="1"/>
      </rPr>
      <t xml:space="preserve"> 80% of applicable area.
• Transient Area =
• Occupied Area = </t>
    </r>
  </si>
  <si>
    <r>
      <t xml:space="preserve">Use of occupancy based controls of the lighting demand to moderate brightness 
of the luminaries for </t>
    </r>
    <r>
      <rPr>
        <sz val="8"/>
        <rFont val="Calibri"/>
        <family val="2"/>
      </rPr>
      <t>≥</t>
    </r>
    <r>
      <rPr>
        <sz val="8"/>
        <rFont val="Cambria"/>
        <family val="1"/>
      </rPr>
      <t xml:space="preserve"> 80% of applicable area.
• Transient Area
• Occupied Area</t>
    </r>
  </si>
  <si>
    <t xml:space="preserve">Including but not limited to:
• Use adaptive control algotithms
• Identify systems that deviate from expected performance
• Detect equipment that run outside intended hours or settings
• Monitor equipment condition for preventive maintenance
• Find failed or improperly operating sensors or actuators
• Number of Other Basic Features = </t>
  </si>
  <si>
    <t xml:space="preserve">Including but not limited to:
• Whole system optimisation using a network of HVAC equipment
• Integration of sub-systems to optimise resource use or improve user experience
• Use of BIM ot similar applications that provide location-based visualisation of multiple sensors
• Participate in a Demand Response Programme
• Number of Other Basic Features = </t>
  </si>
  <si>
    <t>Space Conditioning Performance</t>
  </si>
  <si>
    <t>Lighting System Performance</t>
  </si>
  <si>
    <t>Building Systems Perfomance</t>
  </si>
  <si>
    <t>Optimization of concrete use through calculation of the project’s Concrete Usage Index (up to 2.5 points) and adoption of sustainable building systems (up to 1.5 points)
CUI = 
Coverage of Sustainable Building Systems =                            % of CFA</t>
  </si>
  <si>
    <t>Annexes</t>
  </si>
  <si>
    <t>Hawker Centres</t>
  </si>
  <si>
    <t xml:space="preserve">Healthcare Facilities </t>
  </si>
  <si>
    <t xml:space="preserve">Laboratory Buildings </t>
  </si>
  <si>
    <t>Schools</t>
  </si>
  <si>
    <t>% of Hawker Centres</t>
  </si>
  <si>
    <t>Based on % of functional areas</t>
  </si>
  <si>
    <t>% of Healthcare Facilities</t>
  </si>
  <si>
    <t>% of Laboratory Buildings</t>
  </si>
  <si>
    <t>% of Schools</t>
  </si>
  <si>
    <t>%</t>
  </si>
  <si>
    <t xml:space="preserve">% of Non-Residential Buildings excluding Annexes </t>
  </si>
  <si>
    <t>Target Points</t>
  </si>
  <si>
    <t>Use of SGBC-certified reinforcement bars for structural reinforced concrete elements</t>
  </si>
  <si>
    <t xml:space="preserve">Use of Advanced Green Materials </t>
  </si>
  <si>
    <t>High Impact Items</t>
  </si>
  <si>
    <t>Medium Impact Items</t>
  </si>
  <si>
    <t>a) Inclusion of ACT for ≥50% of A/C areas/systems</t>
  </si>
  <si>
    <t>b) Inclusion of ACT for ≥30% of A/C areas/systems</t>
  </si>
  <si>
    <t xml:space="preserve">c) Achieve A/C system efficiency (excluding air distribution) better than 0.65kW/ton for whole range from 25% to 100% of the peak cooling load (based on A/C areas). </t>
  </si>
  <si>
    <t>d) Adoption of Smart Facilities Management (FM)</t>
  </si>
  <si>
    <t>e) Adoption of Design for Maintainability (DfM)</t>
  </si>
  <si>
    <t>Low Impact Items</t>
  </si>
  <si>
    <t>f) Inclusion of ACT for ≥10% of A/C areas/systems</t>
  </si>
  <si>
    <t>g) Undertake adoption of Smart FM in area such as M&amp;E services, security, environmental services etc</t>
  </si>
  <si>
    <t>Others, pls specify (subject to approval)</t>
  </si>
  <si>
    <r>
      <rPr>
        <u/>
        <sz val="8"/>
        <rFont val="Cambria"/>
        <family val="1"/>
      </rPr>
      <t>Green Individuals:</t>
    </r>
    <r>
      <rPr>
        <sz val="8"/>
        <rFont val="Cambria"/>
        <family val="1"/>
      </rPr>
      <t xml:space="preserve">
• No. of Green Mark Accredited Professional [GMAP] or Green Mark Accredited Professional (Facilities Management) [GMAP (FM)] = 
• No. of Green Mark Advanced Accredited Professional [GMAAP] or Green Mark Advanced Accredited Professional (Facilities Management) [GMAAP (FM)] = 
</t>
    </r>
    <r>
      <rPr>
        <u/>
        <sz val="8"/>
        <rFont val="Cambria"/>
        <family val="1"/>
      </rPr>
      <t>Green and Gracious Builder:</t>
    </r>
    <r>
      <rPr>
        <sz val="8"/>
        <rFont val="Cambria"/>
        <family val="1"/>
      </rPr>
      <t xml:space="preserve">
Level of BCA Green and Gracious Builder certification
• Certified or Merit
•  Excellent or Star
</t>
    </r>
    <r>
      <rPr>
        <u/>
        <sz val="8"/>
        <rFont val="Cambria"/>
        <family val="1"/>
      </rPr>
      <t>Green Companies:</t>
    </r>
    <r>
      <rPr>
        <sz val="8"/>
        <rFont val="Cambria"/>
        <family val="1"/>
      </rPr>
      <t xml:space="preserve">
• No. of ISO 14001 certified consultants = 
• No. of SGBC Green Services Certified firm =
</t>
    </r>
  </si>
  <si>
    <t>Score Card_GM2015_R3</t>
  </si>
  <si>
    <t>Minor updates</t>
  </si>
  <si>
    <t>15th Feb 2020</t>
  </si>
  <si>
    <t>Score Card_ GM2015_R3</t>
  </si>
  <si>
    <t>1.1b(i)</t>
  </si>
  <si>
    <t>Integrative Team</t>
  </si>
  <si>
    <t>1.1b(ii)</t>
  </si>
  <si>
    <t>Involvement of FM Manager</t>
  </si>
  <si>
    <t>1.1b(iii)</t>
  </si>
  <si>
    <t>Remark</t>
  </si>
  <si>
    <t>GMAAP</t>
  </si>
  <si>
    <t>GGBA</t>
  </si>
  <si>
    <t>ISO</t>
  </si>
  <si>
    <t xml:space="preserve">Provision of relevant information and guidance to building occupants as to how they can contribute positively to the reduction of the building’s environmental impact.
• Building User Guide 
• Sustainability Education Corner
• Sustainability Awareness &amp; Education Programme
• Green Fit-out Guidelines
• Displaying Green Mark Credential
• Green Lease:
          % of net lettable area =                             %
</t>
  </si>
  <si>
    <t xml:space="preserve">Building User Guide </t>
  </si>
  <si>
    <t>Sustainability Education Corner</t>
  </si>
  <si>
    <t>Sustainability Awareness &amp; Education Programme</t>
  </si>
  <si>
    <t>Green Fit-out Guidelines</t>
  </si>
  <si>
    <t>Displaying Green Mark Credential</t>
  </si>
  <si>
    <t>BIM</t>
  </si>
  <si>
    <t>1.2a(i)</t>
  </si>
  <si>
    <t>Analysis</t>
  </si>
  <si>
    <t>1.2a(ii)</t>
  </si>
  <si>
    <t>PART 1</t>
  </si>
  <si>
    <t>–  CLIMATIC RESPONSIVE DESIGN</t>
  </si>
  <si>
    <t/>
  </si>
  <si>
    <t>1.2a(iii)</t>
  </si>
  <si>
    <t xml:space="preserve">Provision of electrical vehicle charging and parking infrastructure </t>
  </si>
  <si>
    <t>Additional features to promote bicycle usage</t>
  </si>
  <si>
    <t>1.2a(iv)</t>
  </si>
  <si>
    <t>1.2b(i)</t>
  </si>
  <si>
    <t>Replanting of an equivalent number of equivalent LAI for felled trees</t>
  </si>
  <si>
    <t>Preservation of existing trees on-site</t>
  </si>
  <si>
    <t>1.2b(ii)</t>
  </si>
  <si>
    <t>Projects certified under NParks LEAF certification</t>
  </si>
  <si>
    <t>Adoption of native species of greenery for &gt; 50% of selected flora</t>
  </si>
  <si>
    <t>Projects that scored full points under 1.2a(i) EIA</t>
  </si>
  <si>
    <t>Provision of landscape management plan</t>
  </si>
  <si>
    <t>1.2b(iii)</t>
  </si>
  <si>
    <t>1.2b(iv)</t>
  </si>
  <si>
    <t>Projects certified under PUB ABC Waters certification</t>
  </si>
  <si>
    <t xml:space="preserve">• Locating non-air-conditioned spaces on east and west facing walls
     •Covering 2/3 of E-W Facing Walls 
     •Covering 1/3 of the E-W Facing Walls 
•No. of Air-conditioned Transient Common Spaces = 
•No. of Mechanically Ventilated Transient Common Spaces = 
•No. of Naturally Ventilated Transient Common Spaces =  </t>
  </si>
  <si>
    <r>
      <rPr>
        <u/>
        <sz val="8"/>
        <rFont val="Cambria"/>
        <family val="1"/>
      </rPr>
      <t>Ventilation Performance Checklist</t>
    </r>
    <r>
      <rPr>
        <sz val="8"/>
        <rFont val="Cambria"/>
        <family val="1"/>
      </rPr>
      <t xml:space="preserve">
• Openings towards Prevailing Wind directions (including Atria)
% of units or rooms with openings facing prevailing winds =                       %
• Limiting depth for effective ventilation, where W&lt;2H for Single-sided Ventilation or W&lt;5H for Cross Ventilation 
% of applicable spaces meeting depth requirement =                         %
</t>
    </r>
    <r>
      <rPr>
        <u/>
        <sz val="8"/>
        <rFont val="Cambria"/>
        <family val="1"/>
      </rPr>
      <t>CFD Simulation</t>
    </r>
    <r>
      <rPr>
        <sz val="8"/>
        <rFont val="Cambria"/>
        <family val="1"/>
      </rPr>
      <t xml:space="preserve">
• </t>
    </r>
    <r>
      <rPr>
        <sz val="8"/>
        <rFont val="Calibri"/>
        <family val="2"/>
      </rPr>
      <t>≥</t>
    </r>
    <r>
      <rPr>
        <sz val="8"/>
        <rFont val="Cambria"/>
        <family val="1"/>
      </rPr>
      <t xml:space="preserve"> 70% of naturally ventilated areas to meet minimum wind velocity (If not met, refer to Annex A for Thermal comfort and Air quality criteria)
Average Wind Velocity =                             m/s
Where Wind Velocity result cannot be met, thermal comfort or air quality modeling should be performed:
Thermal Comfort, PMV = 
Air Change Rate = 
Air Exchange Efficiency = </t>
    </r>
  </si>
  <si>
    <t>Part 1 Total Score</t>
  </si>
  <si>
    <t>PART 2</t>
  </si>
  <si>
    <t>–  BUILDING ENERGY PERFORMANCE</t>
  </si>
  <si>
    <t>Reduction of the emissions from vehicular transport through:
• Provision of electrical vehicle charging and parking infrastructure for vehicles or to facilitate  electric car-sharing service
• Meet the prevailing lower bound requirement of RCPS by LTA
• Provision of bicycle lots above LTA's requirement at least 1 bicycle parking lot per 1,500m2 of GFA (Up to 30 lots)
• Additional features to promote bicycle usage</t>
  </si>
  <si>
    <t>Meet the prevailing lower bound requirement of RCPS by LTA</t>
  </si>
  <si>
    <t>Provision of bicycle lots above LTA's requirement</t>
  </si>
  <si>
    <t>• Provision of facilities for collection and storage of different recyclable waste 
• Provision of food waste recycling for applicable buildings
• Provision of facilities for horticultural or wood waste for recycling
• Provision of separate chute for recyclables, beyond code compliance
• Provision of Pneumatic Waste Conveyance System (PWCS), beyond code compliance</t>
  </si>
  <si>
    <t>(iii) Carpark Guidance System</t>
  </si>
  <si>
    <t>• Provision of Carpark Guidance System</t>
  </si>
  <si>
    <t>Green Mark Non-Residential Building (GM NRB:2015)</t>
  </si>
  <si>
    <t xml:space="preserve">OPTION 1: Energy Performance Points Calculator </t>
  </si>
  <si>
    <t>% of functional area =                             %</t>
  </si>
  <si>
    <r>
      <t xml:space="preserve">For non-speculative buildings, collaboration with occupants to procure energy efficient receptacle equipment will be awarded for Energy Reduction in Receptacle Load.
</t>
    </r>
    <r>
      <rPr>
        <i/>
        <sz val="8"/>
        <rFont val="Cambria"/>
        <family val="1"/>
      </rPr>
      <t xml:space="preserve">(0.025 point for every % improvement from baseline, up to 1 point)
</t>
    </r>
    <r>
      <rPr>
        <sz val="8"/>
        <rFont val="Cambria"/>
        <family val="1"/>
      </rPr>
      <t>% Improvement from baseline =                            %</t>
    </r>
  </si>
  <si>
    <t>% Improvement from baseline X % of functional area =                            %</t>
  </si>
  <si>
    <r>
      <rPr>
        <u/>
        <sz val="8"/>
        <rFont val="Cambria"/>
        <family val="1"/>
      </rPr>
      <t>Prorating the number of daylit Transient Common Spaces with Daylighting controls against the total number of applicable spaces</t>
    </r>
    <r>
      <rPr>
        <sz val="8"/>
        <rFont val="Cambria"/>
        <family val="1"/>
      </rPr>
      <t xml:space="preserve"> 
• No. of daylit Transient Spaces = 
• Total No. of Transient Spaces = 
• % of carpark with daylighting = 
No carpark with more than 10 occupants
</t>
    </r>
  </si>
  <si>
    <t>Daylighting simulation for Occupied Spaces
• % of Occupied Spaces with access to Daylighting =                         %
• Demonstrates Effective Mitigation of Overlit Areas</t>
  </si>
  <si>
    <t>(ii) Effective Daylighting for Occupied Spaces</t>
  </si>
  <si>
    <t>Provision of carpark guidance system</t>
  </si>
  <si>
    <r>
      <t xml:space="preserve">Through BCA’s online carbon calculator (carbon submission form)
(0.25 point per material, up to 1 point)
</t>
    </r>
    <r>
      <rPr>
        <sz val="8"/>
        <rFont val="Cambria"/>
        <family val="1"/>
      </rPr>
      <t xml:space="preserve">No. of Additional Materials declared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</si>
</sst>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FFFFFF"/>
      <name val="Cambria"/>
      <family val="1"/>
    </font>
    <font>
      <sz val="10"/>
      <name val="Cambria"/>
      <family val="1"/>
    </font>
    <font>
      <sz val="9"/>
      <name val="Cambria"/>
      <family val="1"/>
    </font>
    <font>
      <sz val="9"/>
      <color rgb="FF000000"/>
      <name val="Cambria"/>
      <family val="1"/>
    </font>
    <font>
      <b/>
      <sz val="9"/>
      <name val="Cambria"/>
      <family val="1"/>
    </font>
    <font>
      <b/>
      <sz val="10"/>
      <name val="Cambria"/>
      <family val="1"/>
    </font>
    <font>
      <b/>
      <sz val="8"/>
      <name val="Cambria"/>
      <family val="1"/>
    </font>
    <font>
      <i/>
      <sz val="8"/>
      <name val="Cambria"/>
      <family val="1"/>
    </font>
    <font>
      <sz val="8"/>
      <name val="Cambria"/>
      <family val="1"/>
    </font>
    <font>
      <sz val="8"/>
      <color rgb="FF000000"/>
      <name val="Cambria"/>
      <family val="1"/>
    </font>
    <font>
      <sz val="12"/>
      <name val="Cambria"/>
      <family val="1"/>
    </font>
    <font>
      <sz val="14"/>
      <name val="Cambria"/>
      <family val="1"/>
    </font>
    <font>
      <b/>
      <sz val="9"/>
      <color rgb="FF000000"/>
      <name val="Cambria"/>
      <family val="1"/>
    </font>
    <font>
      <sz val="8"/>
      <name val="Calibri"/>
      <family val="2"/>
    </font>
    <font>
      <b/>
      <sz val="9"/>
      <color rgb="FFFFFFFF"/>
      <name val="Cambria"/>
      <family val="1"/>
    </font>
    <font>
      <u/>
      <sz val="8"/>
      <name val="Cambria"/>
      <family val="1"/>
    </font>
    <font>
      <sz val="10"/>
      <color rgb="FF000000"/>
      <name val="Arial"/>
      <family val="2"/>
    </font>
    <font>
      <b/>
      <sz val="9"/>
      <color rgb="FF0070C0"/>
      <name val="Cambria"/>
      <family val="1"/>
    </font>
    <font>
      <sz val="9"/>
      <color rgb="FF0070C0"/>
      <name val="Cambria"/>
      <family val="1"/>
    </font>
    <font>
      <i/>
      <sz val="9"/>
      <color rgb="FF0070C0"/>
      <name val="Cambria"/>
      <family val="1"/>
    </font>
    <font>
      <sz val="8"/>
      <color rgb="FF0070C0"/>
      <name val="Cambria"/>
      <family val="1"/>
    </font>
    <font>
      <b/>
      <sz val="12"/>
      <name val="Cambria"/>
      <family val="1"/>
    </font>
    <font>
      <sz val="10"/>
      <color theme="0" tint="-0.499984740745262"/>
      <name val="Cambria"/>
      <family val="1"/>
    </font>
    <font>
      <sz val="10"/>
      <color theme="0"/>
      <name val="Cambria"/>
      <family val="1"/>
    </font>
    <font>
      <b/>
      <sz val="10"/>
      <color theme="0"/>
      <name val="Cambria"/>
      <family val="1"/>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9"/>
      <color rgb="FFFF0000"/>
      <name val="Cambria"/>
      <family val="1"/>
    </font>
    <font>
      <b/>
      <i/>
      <sz val="9"/>
      <name val="Cambria"/>
      <family val="1"/>
    </font>
    <font>
      <vertAlign val="superscript"/>
      <sz val="8"/>
      <name val="Cambria"/>
      <family val="1"/>
    </font>
    <font>
      <sz val="10.4"/>
      <name val="Cambria"/>
      <family val="1"/>
    </font>
    <font>
      <sz val="7"/>
      <color rgb="FF0070C0"/>
      <name val="Cambria"/>
      <family val="1"/>
    </font>
    <font>
      <sz val="9"/>
      <color rgb="FFFF0000"/>
      <name val="Cambria"/>
      <family val="1"/>
    </font>
    <font>
      <b/>
      <sz val="9"/>
      <color theme="0"/>
      <name val="Cambria"/>
      <family val="1"/>
    </font>
  </fonts>
  <fills count="32">
    <fill>
      <patternFill patternType="none"/>
    </fill>
    <fill>
      <patternFill patternType="gray125"/>
    </fill>
    <fill>
      <patternFill patternType="solid">
        <fgColor rgb="FF66FFFF"/>
        <bgColor rgb="FF99FF99"/>
      </patternFill>
    </fill>
    <fill>
      <patternFill patternType="solid">
        <fgColor rgb="FF999999"/>
        <bgColor rgb="FF808080"/>
      </patternFill>
    </fill>
    <fill>
      <patternFill patternType="solid">
        <fgColor rgb="FF9933FF"/>
        <bgColor rgb="FF993366"/>
      </patternFill>
    </fill>
    <fill>
      <patternFill patternType="solid">
        <fgColor rgb="FFEEEEEE"/>
        <bgColor rgb="FFE6E6FF"/>
      </patternFill>
    </fill>
    <fill>
      <patternFill patternType="solid">
        <fgColor rgb="FFE6E6FF"/>
        <bgColor rgb="FFEEEEEE"/>
      </patternFill>
    </fill>
    <fill>
      <patternFill patternType="solid">
        <fgColor rgb="FFFF9900"/>
        <bgColor rgb="FFFFCC00"/>
      </patternFill>
    </fill>
    <fill>
      <patternFill patternType="solid">
        <fgColor rgb="FFFFCC99"/>
        <bgColor rgb="FFF6BD84"/>
      </patternFill>
    </fill>
    <fill>
      <patternFill patternType="solid">
        <fgColor rgb="FFFFCC00"/>
        <bgColor rgb="FFFFFF00"/>
      </patternFill>
    </fill>
    <fill>
      <patternFill patternType="solid">
        <fgColor rgb="FF00CC00"/>
        <bgColor rgb="FF008000"/>
      </patternFill>
    </fill>
    <fill>
      <patternFill patternType="solid">
        <fgColor rgb="FFCCFFCC"/>
        <bgColor rgb="FFEEEEEE"/>
      </patternFill>
    </fill>
    <fill>
      <patternFill patternType="solid">
        <fgColor rgb="FFCCCCCC"/>
        <bgColor rgb="FFE6E6FF"/>
      </patternFill>
    </fill>
    <fill>
      <patternFill patternType="solid">
        <fgColor rgb="FFFFFFCC"/>
        <bgColor rgb="FFFFFFFF"/>
      </patternFill>
    </fill>
    <fill>
      <patternFill patternType="solid">
        <fgColor rgb="FFFF6600"/>
        <bgColor rgb="FFFF9900"/>
      </patternFill>
    </fill>
    <fill>
      <patternFill patternType="solid">
        <fgColor rgb="FFF6BD84"/>
        <bgColor rgb="FFFFCC99"/>
      </patternFill>
    </fill>
    <fill>
      <patternFill patternType="solid">
        <fgColor rgb="FF99FF99"/>
        <bgColor rgb="FFCCFFCC"/>
      </patternFill>
    </fill>
    <fill>
      <patternFill patternType="solid">
        <fgColor rgb="FFCC99FF"/>
        <bgColor rgb="FF9999FF"/>
      </patternFill>
    </fill>
    <fill>
      <patternFill patternType="solid">
        <fgColor rgb="FFFFFF99"/>
        <bgColor rgb="FFFFFFCC"/>
      </patternFill>
    </fill>
    <fill>
      <patternFill patternType="solid">
        <fgColor theme="1"/>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rgb="FFFFCC99"/>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CC"/>
        <bgColor indexed="64"/>
      </patternFill>
    </fill>
    <fill>
      <patternFill patternType="solid">
        <fgColor theme="1" tint="0.14999847407452621"/>
        <bgColor rgb="FFFFFF00"/>
      </patternFill>
    </fill>
    <fill>
      <patternFill patternType="solid">
        <fgColor theme="1" tint="0.499984740745262"/>
        <bgColor rgb="FFFFFFFF"/>
      </patternFill>
    </fill>
    <fill>
      <patternFill patternType="solid">
        <fgColor theme="1"/>
        <bgColor rgb="FFFFFF00"/>
      </patternFill>
    </fill>
    <fill>
      <patternFill patternType="solid">
        <fgColor theme="0" tint="-4.9989318521683403E-2"/>
        <bgColor indexed="64"/>
      </patternFill>
    </fill>
    <fill>
      <patternFill patternType="solid">
        <fgColor theme="8" tint="0.79998168889431442"/>
        <bgColor indexed="64"/>
      </patternFill>
    </fill>
  </fills>
  <borders count="22">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s>
  <cellStyleXfs count="4">
    <xf numFmtId="0" fontId="0" fillId="0" borderId="0"/>
    <xf numFmtId="0" fontId="5" fillId="0" borderId="0"/>
    <xf numFmtId="0" fontId="34" fillId="0" borderId="0" applyNumberFormat="0" applyFill="0" applyBorder="0" applyAlignment="0" applyProtection="0"/>
    <xf numFmtId="0" fontId="4" fillId="0" borderId="0"/>
  </cellStyleXfs>
  <cellXfs count="588">
    <xf numFmtId="0" fontId="0" fillId="0" borderId="0" xfId="0"/>
    <xf numFmtId="0" fontId="6" fillId="3" borderId="5" xfId="0" applyFont="1" applyFill="1" applyBorder="1" applyAlignment="1">
      <alignment vertical="top"/>
    </xf>
    <xf numFmtId="0" fontId="6" fillId="3" borderId="0" xfId="0" applyFont="1" applyFill="1" applyAlignment="1">
      <alignment vertical="top"/>
    </xf>
    <xf numFmtId="0" fontId="7" fillId="0" borderId="0" xfId="0" applyFont="1"/>
    <xf numFmtId="0" fontId="8" fillId="0" borderId="7" xfId="0" applyFont="1" applyBorder="1" applyAlignment="1">
      <alignment vertical="top"/>
    </xf>
    <xf numFmtId="0" fontId="8" fillId="0" borderId="0" xfId="0" applyFont="1" applyAlignment="1">
      <alignment vertical="top"/>
    </xf>
    <xf numFmtId="0" fontId="10" fillId="12" borderId="7" xfId="0" applyFont="1" applyFill="1" applyBorder="1" applyAlignment="1">
      <alignment vertical="top"/>
    </xf>
    <xf numFmtId="0" fontId="11" fillId="0" borderId="0" xfId="0" applyFont="1"/>
    <xf numFmtId="0" fontId="10" fillId="0" borderId="7" xfId="0" applyFont="1" applyBorder="1" applyAlignment="1">
      <alignment vertical="top" wrapText="1"/>
    </xf>
    <xf numFmtId="0" fontId="8" fillId="0" borderId="0" xfId="0" applyFont="1" applyAlignment="1">
      <alignment vertical="top" wrapText="1"/>
    </xf>
    <xf numFmtId="0" fontId="14" fillId="0" borderId="7" xfId="0" applyFont="1" applyBorder="1" applyAlignment="1">
      <alignment vertical="top" wrapText="1"/>
    </xf>
    <xf numFmtId="0" fontId="14" fillId="13" borderId="7" xfId="0" applyFont="1" applyFill="1" applyBorder="1" applyAlignment="1">
      <alignment vertical="top" wrapText="1"/>
    </xf>
    <xf numFmtId="0" fontId="6" fillId="9" borderId="5" xfId="0" applyFont="1" applyFill="1" applyBorder="1" applyAlignment="1">
      <alignment vertical="top"/>
    </xf>
    <xf numFmtId="0" fontId="6" fillId="9" borderId="0" xfId="0" applyFont="1" applyFill="1" applyAlignment="1">
      <alignment vertical="top"/>
    </xf>
    <xf numFmtId="0" fontId="7" fillId="0" borderId="0" xfId="0" applyFont="1" applyAlignment="1">
      <alignment vertical="top"/>
    </xf>
    <xf numFmtId="0" fontId="6" fillId="14" borderId="5" xfId="0" applyFont="1" applyFill="1" applyBorder="1"/>
    <xf numFmtId="0" fontId="6" fillId="14" borderId="0" xfId="0" applyFont="1" applyFill="1"/>
    <xf numFmtId="0" fontId="8" fillId="0" borderId="7" xfId="0" applyFont="1" applyBorder="1"/>
    <xf numFmtId="0" fontId="8" fillId="0" borderId="0" xfId="0" applyFont="1"/>
    <xf numFmtId="0" fontId="8" fillId="0" borderId="7" xfId="0" applyFont="1" applyBorder="1" applyAlignment="1">
      <alignment vertical="center" wrapText="1"/>
    </xf>
    <xf numFmtId="0" fontId="8" fillId="0" borderId="0" xfId="0" applyFont="1" applyAlignment="1">
      <alignment wrapText="1"/>
    </xf>
    <xf numFmtId="0" fontId="14" fillId="13" borderId="7" xfId="0" applyFont="1" applyFill="1" applyBorder="1" applyAlignment="1">
      <alignment vertical="center" wrapText="1"/>
    </xf>
    <xf numFmtId="0" fontId="6" fillId="9" borderId="5" xfId="0" applyFont="1" applyFill="1" applyBorder="1"/>
    <xf numFmtId="0" fontId="6" fillId="9" borderId="0" xfId="0" applyFont="1" applyFill="1"/>
    <xf numFmtId="0" fontId="6" fillId="10" borderId="5" xfId="0" applyFont="1" applyFill="1" applyBorder="1"/>
    <xf numFmtId="0" fontId="6" fillId="10" borderId="0" xfId="0" applyFont="1" applyFill="1"/>
    <xf numFmtId="0" fontId="14" fillId="0" borderId="7" xfId="0" applyFont="1" applyBorder="1" applyAlignment="1">
      <alignment vertical="center" wrapText="1"/>
    </xf>
    <xf numFmtId="0" fontId="10" fillId="0" borderId="0" xfId="0" applyFont="1"/>
    <xf numFmtId="0" fontId="14" fillId="0" borderId="0" xfId="0" applyFont="1"/>
    <xf numFmtId="0" fontId="10" fillId="13" borderId="7" xfId="0" applyFont="1" applyFill="1" applyBorder="1" applyAlignment="1">
      <alignment vertical="top" wrapText="1"/>
    </xf>
    <xf numFmtId="0" fontId="10" fillId="5" borderId="7" xfId="0" applyFont="1" applyFill="1" applyBorder="1" applyAlignment="1">
      <alignment horizontal="left" vertical="top"/>
    </xf>
    <xf numFmtId="0" fontId="6" fillId="3" borderId="0" xfId="0" applyFont="1" applyFill="1" applyAlignment="1">
      <alignment horizontal="right" vertical="top"/>
    </xf>
    <xf numFmtId="0" fontId="8" fillId="0" borderId="0" xfId="0" applyFont="1" applyAlignment="1">
      <alignment horizontal="right" vertical="top"/>
    </xf>
    <xf numFmtId="0" fontId="10" fillId="12" borderId="7" xfId="0" applyFont="1" applyFill="1" applyBorder="1" applyAlignment="1">
      <alignment horizontal="right" vertical="top"/>
    </xf>
    <xf numFmtId="0" fontId="8" fillId="0" borderId="0" xfId="0" applyFont="1" applyAlignment="1">
      <alignment horizontal="right" vertical="top" wrapText="1"/>
    </xf>
    <xf numFmtId="0" fontId="10" fillId="0" borderId="7" xfId="0" applyFont="1" applyBorder="1" applyAlignment="1">
      <alignment horizontal="right" vertical="top" wrapText="1"/>
    </xf>
    <xf numFmtId="0" fontId="10" fillId="13" borderId="7" xfId="0" applyFont="1" applyFill="1" applyBorder="1" applyAlignment="1">
      <alignment horizontal="right" vertical="top" wrapText="1"/>
    </xf>
    <xf numFmtId="0" fontId="14" fillId="13" borderId="7" xfId="0" applyFont="1" applyFill="1" applyBorder="1" applyAlignment="1">
      <alignment horizontal="right" vertical="top" wrapText="1"/>
    </xf>
    <xf numFmtId="0" fontId="7" fillId="0" borderId="0" xfId="0" applyFont="1" applyAlignment="1">
      <alignment horizontal="right" vertical="top"/>
    </xf>
    <xf numFmtId="0" fontId="8" fillId="0" borderId="0" xfId="0" applyFont="1" applyAlignment="1">
      <alignment horizontal="right"/>
    </xf>
    <xf numFmtId="0" fontId="10" fillId="13" borderId="7" xfId="0" applyFont="1" applyFill="1" applyBorder="1" applyAlignment="1">
      <alignment vertical="top"/>
    </xf>
    <xf numFmtId="0" fontId="10" fillId="13" borderId="7" xfId="0" applyFont="1" applyFill="1" applyBorder="1" applyAlignment="1">
      <alignment horizontal="right" vertical="top"/>
    </xf>
    <xf numFmtId="0" fontId="10" fillId="8" borderId="7" xfId="0" applyFont="1" applyFill="1" applyBorder="1"/>
    <xf numFmtId="0" fontId="10" fillId="15" borderId="7" xfId="0" applyFont="1" applyFill="1" applyBorder="1"/>
    <xf numFmtId="0" fontId="10" fillId="13" borderId="7" xfId="0" applyFont="1" applyFill="1" applyBorder="1"/>
    <xf numFmtId="0" fontId="10" fillId="0" borderId="7" xfId="0" applyFont="1" applyBorder="1" applyAlignment="1">
      <alignment vertical="center" wrapText="1"/>
    </xf>
    <xf numFmtId="0" fontId="10" fillId="0" borderId="7" xfId="0" applyFont="1" applyBorder="1" applyAlignment="1">
      <alignment horizontal="left" vertical="center" wrapText="1"/>
    </xf>
    <xf numFmtId="0" fontId="10" fillId="11" borderId="7" xfId="0" applyFont="1" applyFill="1" applyBorder="1"/>
    <xf numFmtId="0" fontId="10" fillId="16" borderId="7" xfId="0" applyFont="1" applyFill="1" applyBorder="1"/>
    <xf numFmtId="0" fontId="12" fillId="0" borderId="0" xfId="0" applyFont="1"/>
    <xf numFmtId="0" fontId="20" fillId="4" borderId="5" xfId="0" applyFont="1" applyFill="1" applyBorder="1"/>
    <xf numFmtId="0" fontId="20" fillId="4" borderId="0" xfId="0" applyFont="1" applyFill="1"/>
    <xf numFmtId="0" fontId="20" fillId="9" borderId="5" xfId="0" applyFont="1" applyFill="1" applyBorder="1"/>
    <xf numFmtId="0" fontId="20" fillId="9" borderId="0" xfId="0" applyFont="1" applyFill="1"/>
    <xf numFmtId="0" fontId="10" fillId="0" borderId="10" xfId="0" applyFont="1" applyBorder="1" applyAlignment="1">
      <alignment vertical="center" wrapText="1"/>
    </xf>
    <xf numFmtId="0" fontId="18" fillId="0" borderId="7" xfId="0" applyFont="1" applyBorder="1" applyAlignment="1">
      <alignment vertical="center" wrapText="1"/>
    </xf>
    <xf numFmtId="0" fontId="10" fillId="17" borderId="7" xfId="0" applyFont="1" applyFill="1" applyBorder="1"/>
    <xf numFmtId="0" fontId="10" fillId="18" borderId="7" xfId="0" applyFont="1" applyFill="1" applyBorder="1"/>
    <xf numFmtId="0" fontId="14" fillId="0" borderId="0" xfId="0" applyFont="1" applyAlignment="1">
      <alignment vertical="top"/>
    </xf>
    <xf numFmtId="0" fontId="10" fillId="0" borderId="7" xfId="0" applyFont="1" applyBorder="1" applyAlignment="1">
      <alignment horizontal="right" vertical="center" wrapText="1"/>
    </xf>
    <xf numFmtId="0" fontId="10" fillId="5" borderId="7" xfId="0" applyFont="1" applyFill="1" applyBorder="1" applyAlignment="1">
      <alignment horizontal="left" vertical="center"/>
    </xf>
    <xf numFmtId="0" fontId="10" fillId="8" borderId="7" xfId="0" applyFont="1" applyFill="1" applyBorder="1" applyAlignment="1">
      <alignment horizontal="left" vertical="center"/>
    </xf>
    <xf numFmtId="0" fontId="10" fillId="11" borderId="7" xfId="0" applyFont="1" applyFill="1" applyBorder="1" applyAlignment="1">
      <alignment horizontal="left" vertical="center"/>
    </xf>
    <xf numFmtId="0" fontId="8" fillId="13" borderId="7" xfId="0" applyFont="1" applyFill="1" applyBorder="1" applyAlignment="1">
      <alignment vertical="center" wrapText="1"/>
    </xf>
    <xf numFmtId="0" fontId="8" fillId="13" borderId="7" xfId="0" applyFont="1" applyFill="1" applyBorder="1" applyAlignment="1">
      <alignment horizontal="right" vertical="center" wrapText="1"/>
    </xf>
    <xf numFmtId="0" fontId="10" fillId="13" borderId="7" xfId="0" applyFont="1" applyFill="1" applyBorder="1" applyAlignment="1">
      <alignment horizontal="right"/>
    </xf>
    <xf numFmtId="0" fontId="14" fillId="0" borderId="7" xfId="0" applyFont="1" applyBorder="1" applyAlignment="1">
      <alignment horizontal="right" vertical="center" wrapText="1"/>
    </xf>
    <xf numFmtId="0" fontId="20" fillId="4" borderId="0" xfId="0" applyFont="1" applyFill="1" applyAlignment="1">
      <alignment horizontal="right"/>
    </xf>
    <xf numFmtId="0" fontId="10" fillId="17" borderId="7" xfId="0" applyFont="1" applyFill="1" applyBorder="1" applyAlignment="1">
      <alignment horizontal="right"/>
    </xf>
    <xf numFmtId="0" fontId="14" fillId="13" borderId="7" xfId="0" applyFont="1" applyFill="1" applyBorder="1" applyAlignment="1">
      <alignment horizontal="right" vertical="center" wrapText="1"/>
    </xf>
    <xf numFmtId="0" fontId="8" fillId="0" borderId="0" xfId="0" applyFont="1" applyAlignment="1">
      <alignment horizontal="right" wrapText="1"/>
    </xf>
    <xf numFmtId="0" fontId="7" fillId="0" borderId="0" xfId="0" applyFont="1" applyAlignment="1">
      <alignment wrapText="1"/>
    </xf>
    <xf numFmtId="0" fontId="14" fillId="0" borderId="0" xfId="0" applyFont="1" applyFill="1"/>
    <xf numFmtId="0" fontId="25" fillId="0" borderId="3" xfId="0" applyFont="1" applyBorder="1" applyAlignment="1">
      <alignment horizontal="center" vertical="top" wrapText="1"/>
    </xf>
    <xf numFmtId="0" fontId="24" fillId="0" borderId="13" xfId="0" applyFont="1" applyBorder="1" applyAlignment="1">
      <alignment horizontal="center" wrapText="1"/>
    </xf>
    <xf numFmtId="0" fontId="24" fillId="13" borderId="7" xfId="0" applyFont="1" applyFill="1" applyBorder="1" applyAlignment="1">
      <alignment horizontal="center" vertical="center" wrapText="1"/>
    </xf>
    <xf numFmtId="0" fontId="23" fillId="3" borderId="0" xfId="0" applyFont="1" applyFill="1" applyAlignment="1">
      <alignment horizontal="center"/>
    </xf>
    <xf numFmtId="0" fontId="24" fillId="0" borderId="0" xfId="0" applyFont="1" applyAlignment="1">
      <alignment horizontal="center"/>
    </xf>
    <xf numFmtId="0" fontId="23" fillId="12" borderId="7" xfId="0" applyFont="1" applyFill="1" applyBorder="1" applyAlignment="1">
      <alignment horizontal="center"/>
    </xf>
    <xf numFmtId="0" fontId="23" fillId="13" borderId="7" xfId="0" applyFont="1" applyFill="1" applyBorder="1" applyAlignment="1">
      <alignment horizontal="center"/>
    </xf>
    <xf numFmtId="0" fontId="23" fillId="0" borderId="7" xfId="0" applyFont="1" applyBorder="1" applyAlignment="1">
      <alignment horizontal="center" wrapText="1"/>
    </xf>
    <xf numFmtId="0" fontId="23" fillId="13" borderId="7" xfId="0" applyFont="1" applyFill="1" applyBorder="1" applyAlignment="1">
      <alignment horizontal="center" wrapText="1"/>
    </xf>
    <xf numFmtId="0" fontId="24" fillId="0" borderId="0" xfId="0" applyFont="1" applyAlignment="1">
      <alignment horizontal="center" wrapText="1"/>
    </xf>
    <xf numFmtId="0" fontId="23" fillId="0" borderId="13" xfId="0" applyFont="1" applyBorder="1" applyAlignment="1">
      <alignment horizontal="center" wrapText="1"/>
    </xf>
    <xf numFmtId="0" fontId="24" fillId="13" borderId="7" xfId="0" applyFont="1" applyFill="1" applyBorder="1" applyAlignment="1">
      <alignment horizontal="center" wrapText="1"/>
    </xf>
    <xf numFmtId="0" fontId="23" fillId="9" borderId="0" xfId="0" applyFont="1" applyFill="1" applyAlignment="1">
      <alignment horizontal="center"/>
    </xf>
    <xf numFmtId="0" fontId="10" fillId="13" borderId="7" xfId="0" applyFont="1" applyFill="1" applyBorder="1" applyAlignment="1">
      <alignment horizontal="right" vertical="center"/>
    </xf>
    <xf numFmtId="0" fontId="10" fillId="8" borderId="7" xfId="0" applyFont="1" applyFill="1" applyBorder="1" applyAlignment="1">
      <alignment horizontal="left" vertical="center" wrapText="1"/>
    </xf>
    <xf numFmtId="0" fontId="10" fillId="8" borderId="7" xfId="0" applyFont="1" applyFill="1" applyBorder="1" applyAlignment="1">
      <alignment vertical="center"/>
    </xf>
    <xf numFmtId="0" fontId="10" fillId="8" borderId="7" xfId="0" applyFont="1" applyFill="1" applyBorder="1" applyAlignment="1">
      <alignment vertical="center" wrapText="1"/>
    </xf>
    <xf numFmtId="0" fontId="11" fillId="0" borderId="0" xfId="0" applyFont="1" applyAlignment="1">
      <alignment vertical="center"/>
    </xf>
    <xf numFmtId="0" fontId="10" fillId="0" borderId="0" xfId="0" applyFont="1" applyAlignment="1">
      <alignment vertical="center"/>
    </xf>
    <xf numFmtId="0" fontId="10" fillId="5" borderId="7" xfId="0" applyFont="1" applyFill="1" applyBorder="1" applyAlignment="1">
      <alignment horizontal="left" vertical="center" wrapText="1"/>
    </xf>
    <xf numFmtId="0" fontId="10" fillId="5" borderId="7" xfId="0" applyFont="1" applyFill="1" applyBorder="1" applyAlignment="1">
      <alignment vertical="center" wrapText="1"/>
    </xf>
    <xf numFmtId="0" fontId="11" fillId="0" borderId="0" xfId="0" applyFont="1" applyAlignment="1">
      <alignment vertical="center" wrapText="1"/>
    </xf>
    <xf numFmtId="0" fontId="10" fillId="5" borderId="7" xfId="0" applyFont="1" applyFill="1" applyBorder="1" applyAlignment="1">
      <alignment vertical="center"/>
    </xf>
    <xf numFmtId="0" fontId="10" fillId="5" borderId="7" xfId="0" applyFont="1" applyFill="1" applyBorder="1" applyAlignment="1">
      <alignment horizontal="right" vertical="center" wrapText="1"/>
    </xf>
    <xf numFmtId="0" fontId="7" fillId="0" borderId="0" xfId="0" applyFont="1" applyAlignment="1">
      <alignment vertical="center"/>
    </xf>
    <xf numFmtId="0" fontId="24" fillId="15" borderId="7" xfId="0" applyFont="1" applyFill="1" applyBorder="1" applyAlignment="1">
      <alignment horizontal="center"/>
    </xf>
    <xf numFmtId="0" fontId="24" fillId="0" borderId="7" xfId="0" applyFont="1" applyBorder="1" applyAlignment="1">
      <alignment horizontal="center" wrapText="1"/>
    </xf>
    <xf numFmtId="0" fontId="24" fillId="0" borderId="10" xfId="0" applyFont="1" applyBorder="1" applyAlignment="1">
      <alignment horizontal="center" wrapText="1"/>
    </xf>
    <xf numFmtId="0" fontId="24" fillId="13" borderId="7" xfId="0" applyFont="1" applyFill="1" applyBorder="1" applyAlignment="1">
      <alignment horizontal="center"/>
    </xf>
    <xf numFmtId="0" fontId="24" fillId="14" borderId="0" xfId="0" applyFont="1" applyFill="1" applyAlignment="1">
      <alignment horizontal="center"/>
    </xf>
    <xf numFmtId="0" fontId="24" fillId="9" borderId="0" xfId="0" applyFont="1" applyFill="1" applyAlignment="1">
      <alignment horizontal="center"/>
    </xf>
    <xf numFmtId="0" fontId="10" fillId="11" borderId="7" xfId="0" applyFont="1" applyFill="1" applyBorder="1" applyAlignment="1">
      <alignment vertical="center"/>
    </xf>
    <xf numFmtId="0" fontId="10" fillId="11" borderId="7" xfId="0" applyFont="1" applyFill="1" applyBorder="1" applyAlignment="1">
      <alignment vertical="center" wrapText="1"/>
    </xf>
    <xf numFmtId="0" fontId="24" fillId="10" borderId="0" xfId="0" applyFont="1" applyFill="1" applyAlignment="1">
      <alignment horizontal="center"/>
    </xf>
    <xf numFmtId="0" fontId="24" fillId="16" borderId="7" xfId="0" applyFont="1" applyFill="1" applyBorder="1" applyAlignment="1">
      <alignment horizontal="center"/>
    </xf>
    <xf numFmtId="0" fontId="24" fillId="13" borderId="7" xfId="0" applyFont="1" applyFill="1" applyBorder="1" applyAlignment="1">
      <alignment horizontal="center" vertical="center"/>
    </xf>
    <xf numFmtId="0" fontId="24" fillId="0" borderId="7" xfId="0" applyFont="1" applyBorder="1" applyAlignment="1">
      <alignment horizontal="center" vertical="center" wrapText="1"/>
    </xf>
    <xf numFmtId="0" fontId="24" fillId="0" borderId="13" xfId="0" applyFont="1" applyBorder="1" applyAlignment="1">
      <alignment horizontal="center" vertical="center" wrapText="1"/>
    </xf>
    <xf numFmtId="0" fontId="10" fillId="11" borderId="7" xfId="0" applyFont="1" applyFill="1" applyBorder="1" applyAlignment="1">
      <alignment horizontal="left" vertical="center" wrapText="1"/>
    </xf>
    <xf numFmtId="0" fontId="10" fillId="6" borderId="7" xfId="0" applyFont="1" applyFill="1" applyBorder="1" applyAlignment="1">
      <alignment horizontal="left" vertical="center"/>
    </xf>
    <xf numFmtId="0" fontId="10" fillId="6" borderId="7" xfId="0" applyFont="1" applyFill="1" applyBorder="1" applyAlignment="1">
      <alignment vertical="center"/>
    </xf>
    <xf numFmtId="0" fontId="10" fillId="6" borderId="7" xfId="0" applyFont="1" applyFill="1" applyBorder="1" applyAlignment="1">
      <alignment vertical="center" wrapText="1"/>
    </xf>
    <xf numFmtId="0" fontId="10" fillId="6" borderId="7" xfId="0" applyFont="1" applyFill="1" applyBorder="1" applyAlignment="1">
      <alignment horizontal="right" vertical="center" wrapText="1"/>
    </xf>
    <xf numFmtId="0" fontId="24" fillId="4" borderId="0" xfId="0" applyFont="1" applyFill="1" applyAlignment="1">
      <alignment horizontal="center"/>
    </xf>
    <xf numFmtId="0" fontId="24" fillId="17" borderId="7" xfId="0" applyFont="1" applyFill="1" applyBorder="1" applyAlignment="1">
      <alignment horizontal="center"/>
    </xf>
    <xf numFmtId="0" fontId="10" fillId="6" borderId="7" xfId="0" applyFont="1" applyFill="1" applyBorder="1" applyAlignment="1">
      <alignment horizontal="left" vertical="center" wrapText="1"/>
    </xf>
    <xf numFmtId="0" fontId="10" fillId="13" borderId="7" xfId="0" applyFont="1" applyFill="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24" fillId="0" borderId="2" xfId="0" applyFont="1" applyBorder="1" applyAlignment="1">
      <alignment horizontal="center" wrapText="1"/>
    </xf>
    <xf numFmtId="0" fontId="14" fillId="0" borderId="2" xfId="0" applyFont="1" applyBorder="1" applyAlignment="1">
      <alignment horizontal="right" vertical="center" wrapText="1"/>
    </xf>
    <xf numFmtId="0" fontId="12" fillId="0" borderId="2" xfId="0" applyFont="1" applyBorder="1" applyAlignment="1">
      <alignment horizontal="center" vertical="center" wrapText="1"/>
    </xf>
    <xf numFmtId="0" fontId="25" fillId="0" borderId="2" xfId="0" applyFont="1" applyBorder="1" applyAlignment="1">
      <alignment horizontal="center" wrapText="1"/>
    </xf>
    <xf numFmtId="0" fontId="18" fillId="0" borderId="2" xfId="0" applyFont="1" applyBorder="1" applyAlignment="1">
      <alignment horizontal="center" vertical="center" wrapText="1"/>
    </xf>
    <xf numFmtId="0" fontId="8" fillId="0" borderId="0" xfId="0" applyFont="1" applyAlignment="1">
      <alignment horizontal="left" vertical="center" wrapText="1"/>
    </xf>
    <xf numFmtId="0" fontId="10" fillId="13" borderId="7" xfId="0" applyFont="1" applyFill="1" applyBorder="1" applyAlignment="1">
      <alignment horizontal="left" vertical="center"/>
    </xf>
    <xf numFmtId="0" fontId="14" fillId="0" borderId="0" xfId="0" applyFont="1" applyProtection="1">
      <protection locked="0"/>
    </xf>
    <xf numFmtId="0" fontId="24" fillId="13" borderId="7" xfId="0" applyFont="1" applyFill="1" applyBorder="1" applyAlignment="1" applyProtection="1">
      <alignment horizontal="center" wrapText="1"/>
      <protection locked="0"/>
    </xf>
    <xf numFmtId="0" fontId="24" fillId="0" borderId="13" xfId="0" applyFont="1" applyFill="1" applyBorder="1" applyAlignment="1" applyProtection="1">
      <alignment horizontal="center" wrapText="1"/>
      <protection locked="0"/>
    </xf>
    <xf numFmtId="0" fontId="24" fillId="13" borderId="13" xfId="0" applyFont="1" applyFill="1" applyBorder="1" applyAlignment="1" applyProtection="1">
      <alignment horizontal="center" wrapText="1"/>
      <protection locked="0"/>
    </xf>
    <xf numFmtId="0" fontId="24" fillId="0" borderId="13" xfId="0" applyFont="1" applyBorder="1" applyAlignment="1" applyProtection="1">
      <alignment horizontal="center" wrapText="1"/>
      <protection locked="0"/>
    </xf>
    <xf numFmtId="0" fontId="7" fillId="0" borderId="0" xfId="0" applyFont="1" applyProtection="1">
      <protection locked="0"/>
    </xf>
    <xf numFmtId="0" fontId="8" fillId="0" borderId="7" xfId="0" applyFont="1" applyBorder="1" applyAlignment="1" applyProtection="1">
      <alignment horizontal="right" vertical="top"/>
      <protection locked="0"/>
    </xf>
    <xf numFmtId="0" fontId="24" fillId="0" borderId="7" xfId="0" applyFont="1" applyBorder="1" applyAlignment="1" applyProtection="1">
      <alignment horizontal="center" wrapText="1"/>
      <protection locked="0"/>
    </xf>
    <xf numFmtId="0" fontId="8" fillId="0" borderId="7" xfId="0" applyFont="1" applyBorder="1" applyProtection="1">
      <protection locked="0"/>
    </xf>
    <xf numFmtId="0" fontId="24" fillId="0" borderId="13" xfId="0" applyFont="1" applyBorder="1" applyAlignment="1" applyProtection="1">
      <alignment horizontal="center" vertical="center" wrapText="1"/>
      <protection locked="0"/>
    </xf>
    <xf numFmtId="0" fontId="24" fillId="13" borderId="13" xfId="0" applyFont="1" applyFill="1" applyBorder="1" applyAlignment="1" applyProtection="1">
      <alignment horizontal="center" vertical="center" wrapText="1"/>
      <protection locked="0"/>
    </xf>
    <xf numFmtId="0" fontId="24" fillId="13" borderId="7" xfId="0" applyFont="1" applyFill="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14" fillId="0" borderId="0" xfId="0" applyFont="1" applyAlignment="1" applyProtection="1">
      <alignment horizontal="center"/>
      <protection locked="0"/>
    </xf>
    <xf numFmtId="0" fontId="10" fillId="0" borderId="0" xfId="0" applyFont="1" applyAlignment="1" applyProtection="1">
      <alignment horizontal="center"/>
      <protection locked="0"/>
    </xf>
    <xf numFmtId="0" fontId="12" fillId="0" borderId="0" xfId="0" applyFont="1" applyAlignment="1" applyProtection="1">
      <alignment horizontal="center"/>
      <protection locked="0"/>
    </xf>
    <xf numFmtId="0" fontId="8" fillId="0" borderId="7" xfId="0" applyFont="1" applyBorder="1" applyAlignment="1" applyProtection="1">
      <alignment horizontal="right"/>
      <protection locked="0"/>
    </xf>
    <xf numFmtId="0" fontId="8" fillId="0" borderId="7" xfId="0" applyFont="1" applyFill="1" applyBorder="1" applyAlignment="1">
      <alignment vertical="center" wrapText="1"/>
    </xf>
    <xf numFmtId="0" fontId="7" fillId="0" borderId="0" xfId="0" applyFont="1" applyFill="1"/>
    <xf numFmtId="0" fontId="10" fillId="13" borderId="7" xfId="0" applyFont="1" applyFill="1" applyBorder="1" applyAlignment="1">
      <alignment vertical="center" wrapText="1"/>
    </xf>
    <xf numFmtId="0" fontId="8" fillId="0" borderId="7" xfId="0" applyFont="1" applyFill="1" applyBorder="1" applyAlignment="1">
      <alignment wrapText="1"/>
    </xf>
    <xf numFmtId="0" fontId="8" fillId="0" borderId="12" xfId="0" applyFont="1" applyBorder="1" applyAlignment="1">
      <alignment vertical="center" wrapText="1"/>
    </xf>
    <xf numFmtId="0" fontId="8" fillId="0" borderId="7" xfId="0" applyFont="1" applyFill="1" applyBorder="1" applyAlignment="1">
      <alignment vertical="top" wrapText="1"/>
    </xf>
    <xf numFmtId="0" fontId="26" fillId="0" borderId="7" xfId="0" applyFont="1" applyFill="1" applyBorder="1" applyAlignment="1" applyProtection="1">
      <alignment horizontal="center" wrapText="1"/>
      <protection locked="0"/>
    </xf>
    <xf numFmtId="0" fontId="26" fillId="0" borderId="7" xfId="0" applyFont="1" applyFill="1" applyBorder="1" applyAlignment="1" applyProtection="1">
      <alignment horizontal="center" vertical="top" wrapText="1"/>
      <protection locked="0"/>
    </xf>
    <xf numFmtId="0" fontId="8" fillId="0" borderId="7" xfId="0" applyFont="1" applyFill="1" applyBorder="1" applyAlignment="1" applyProtection="1">
      <alignment vertical="center" wrapText="1"/>
      <protection locked="0"/>
    </xf>
    <xf numFmtId="0" fontId="7" fillId="0" borderId="0" xfId="0" applyFont="1" applyFill="1" applyProtection="1">
      <protection locked="0"/>
    </xf>
    <xf numFmtId="0" fontId="24" fillId="0" borderId="7" xfId="0" applyFont="1" applyFill="1" applyBorder="1" applyAlignment="1" applyProtection="1">
      <alignment horizontal="center" vertical="center" wrapText="1"/>
      <protection locked="0"/>
    </xf>
    <xf numFmtId="0" fontId="8" fillId="0" borderId="7" xfId="0" applyFont="1" applyFill="1" applyBorder="1" applyAlignment="1" applyProtection="1">
      <alignment wrapText="1"/>
      <protection locked="0"/>
    </xf>
    <xf numFmtId="0" fontId="14" fillId="0" borderId="0" xfId="0" applyFont="1" applyFill="1" applyAlignment="1" applyProtection="1">
      <alignment horizontal="center"/>
      <protection locked="0"/>
    </xf>
    <xf numFmtId="0" fontId="14" fillId="0" borderId="7" xfId="0" applyFont="1" applyFill="1" applyBorder="1" applyAlignment="1">
      <alignment vertical="center" wrapText="1"/>
    </xf>
    <xf numFmtId="0" fontId="14" fillId="0" borderId="7" xfId="0" applyFont="1" applyFill="1" applyBorder="1" applyAlignment="1">
      <alignment horizontal="right" vertical="center" wrapText="1"/>
    </xf>
    <xf numFmtId="0" fontId="14" fillId="0" borderId="10" xfId="0" applyFont="1" applyFill="1" applyBorder="1" applyAlignment="1">
      <alignment vertical="top" wrapText="1"/>
    </xf>
    <xf numFmtId="0" fontId="14" fillId="0" borderId="0" xfId="0" applyFont="1" applyFill="1" applyProtection="1">
      <protection locked="0"/>
    </xf>
    <xf numFmtId="0" fontId="14" fillId="0" borderId="4" xfId="0" applyFont="1" applyFill="1" applyBorder="1" applyAlignment="1">
      <alignment vertical="top" wrapText="1"/>
    </xf>
    <xf numFmtId="0" fontId="14" fillId="0" borderId="7" xfId="0" applyFont="1" applyFill="1" applyBorder="1" applyAlignment="1">
      <alignment vertical="top" wrapText="1"/>
    </xf>
    <xf numFmtId="0" fontId="14" fillId="0" borderId="7" xfId="0" applyFont="1" applyFill="1" applyBorder="1" applyAlignment="1">
      <alignment horizontal="right" vertical="top" wrapText="1"/>
    </xf>
    <xf numFmtId="0" fontId="13" fillId="0" borderId="7" xfId="0" applyFont="1" applyBorder="1" applyAlignment="1">
      <alignment vertical="top" wrapText="1"/>
    </xf>
    <xf numFmtId="0" fontId="8" fillId="0" borderId="0" xfId="0" applyFont="1" applyAlignment="1" applyProtection="1">
      <alignment horizontal="center"/>
      <protection locked="0"/>
    </xf>
    <xf numFmtId="1" fontId="10" fillId="0" borderId="7" xfId="0" applyNumberFormat="1" applyFont="1" applyBorder="1" applyAlignment="1">
      <alignment horizontal="right" vertical="center" wrapText="1"/>
    </xf>
    <xf numFmtId="0" fontId="34" fillId="0" borderId="0" xfId="2"/>
    <xf numFmtId="0" fontId="4" fillId="0" borderId="0" xfId="3"/>
    <xf numFmtId="0" fontId="32" fillId="22" borderId="0" xfId="3" applyFont="1" applyFill="1"/>
    <xf numFmtId="0" fontId="4" fillId="0" borderId="0" xfId="3" applyAlignment="1">
      <alignment vertical="center"/>
    </xf>
    <xf numFmtId="0" fontId="33" fillId="21" borderId="15" xfId="3" applyFont="1" applyFill="1" applyBorder="1"/>
    <xf numFmtId="0" fontId="31" fillId="0" borderId="17" xfId="3" applyFont="1" applyBorder="1" applyAlignment="1">
      <alignment horizontal="center" vertical="center" wrapText="1"/>
    </xf>
    <xf numFmtId="0" fontId="31" fillId="0" borderId="18" xfId="3" applyFont="1" applyBorder="1" applyAlignment="1">
      <alignment horizontal="center" vertical="center" wrapText="1"/>
    </xf>
    <xf numFmtId="0" fontId="4" fillId="0" borderId="19" xfId="3" applyFont="1" applyBorder="1" applyAlignment="1">
      <alignment vertical="center" wrapText="1"/>
    </xf>
    <xf numFmtId="0" fontId="3" fillId="0" borderId="20" xfId="3" applyFont="1" applyBorder="1" applyAlignment="1">
      <alignment vertical="center" wrapText="1"/>
    </xf>
    <xf numFmtId="0" fontId="4" fillId="0" borderId="20" xfId="3" applyFont="1" applyBorder="1" applyAlignment="1">
      <alignment vertical="center" wrapText="1"/>
    </xf>
    <xf numFmtId="15" fontId="4" fillId="0" borderId="21" xfId="3" applyNumberFormat="1" applyFont="1" applyBorder="1" applyAlignment="1">
      <alignment vertical="center" wrapText="1"/>
    </xf>
    <xf numFmtId="0" fontId="4" fillId="0" borderId="16" xfId="3" applyBorder="1"/>
    <xf numFmtId="0" fontId="2" fillId="0" borderId="16" xfId="3" applyFont="1" applyBorder="1"/>
    <xf numFmtId="0" fontId="8" fillId="0" borderId="7" xfId="0" applyFont="1" applyBorder="1" applyAlignment="1">
      <alignment vertical="top" wrapText="1"/>
    </xf>
    <xf numFmtId="0" fontId="8" fillId="0" borderId="7" xfId="0" applyFont="1" applyBorder="1" applyAlignment="1">
      <alignment horizontal="right" vertical="top" wrapText="1"/>
    </xf>
    <xf numFmtId="0" fontId="36" fillId="0" borderId="7" xfId="0" applyFont="1" applyBorder="1" applyAlignment="1">
      <alignment vertical="top" wrapText="1"/>
    </xf>
    <xf numFmtId="0" fontId="10" fillId="23" borderId="7" xfId="0" applyFont="1" applyFill="1" applyBorder="1"/>
    <xf numFmtId="0" fontId="24" fillId="23" borderId="7" xfId="0" applyFont="1" applyFill="1" applyBorder="1" applyAlignment="1">
      <alignment horizontal="center"/>
    </xf>
    <xf numFmtId="0" fontId="10" fillId="23" borderId="1" xfId="0" applyFont="1" applyFill="1" applyBorder="1" applyAlignment="1">
      <alignment horizontal="center" vertical="center"/>
    </xf>
    <xf numFmtId="0" fontId="11" fillId="24" borderId="0" xfId="0" applyFont="1" applyFill="1"/>
    <xf numFmtId="0" fontId="10" fillId="0" borderId="7" xfId="0" applyFont="1" applyFill="1" applyBorder="1" applyAlignment="1">
      <alignment vertical="center" wrapText="1"/>
    </xf>
    <xf numFmtId="0" fontId="24" fillId="0" borderId="10" xfId="0" applyFont="1" applyFill="1" applyBorder="1" applyAlignment="1">
      <alignment horizontal="center" wrapText="1"/>
    </xf>
    <xf numFmtId="0" fontId="10" fillId="0" borderId="10" xfId="0" applyFont="1" applyFill="1" applyBorder="1" applyAlignment="1">
      <alignment vertical="center" wrapText="1"/>
    </xf>
    <xf numFmtId="0" fontId="10" fillId="13" borderId="7" xfId="0" applyFont="1" applyFill="1" applyBorder="1" applyAlignment="1">
      <alignment horizontal="right" vertical="center" wrapText="1"/>
    </xf>
    <xf numFmtId="0" fontId="10" fillId="13" borderId="8" xfId="0" applyFont="1" applyFill="1" applyBorder="1" applyAlignment="1" applyProtection="1">
      <alignment horizontal="center" vertical="center" wrapText="1"/>
      <protection locked="0"/>
    </xf>
    <xf numFmtId="0" fontId="18" fillId="13" borderId="1" xfId="0" applyFont="1" applyFill="1" applyBorder="1" applyAlignment="1" applyProtection="1">
      <alignment horizontal="center" vertical="center" wrapText="1"/>
      <protection locked="0"/>
    </xf>
    <xf numFmtId="0" fontId="24" fillId="0" borderId="9" xfId="0" applyFont="1" applyBorder="1" applyAlignment="1" applyProtection="1">
      <alignment horizontal="center" wrapText="1"/>
      <protection locked="0"/>
    </xf>
    <xf numFmtId="0" fontId="8" fillId="0" borderId="10" xfId="0" applyFont="1" applyFill="1" applyBorder="1" applyAlignment="1">
      <alignment vertical="center" wrapText="1"/>
    </xf>
    <xf numFmtId="0" fontId="14" fillId="0" borderId="10" xfId="0" applyFont="1" applyFill="1" applyBorder="1" applyAlignment="1">
      <alignment vertical="center" wrapText="1"/>
    </xf>
    <xf numFmtId="0" fontId="8" fillId="0" borderId="7" xfId="0" applyFont="1" applyFill="1" applyBorder="1" applyAlignment="1">
      <alignment horizontal="right" vertical="center" wrapText="1"/>
    </xf>
    <xf numFmtId="0" fontId="8" fillId="0" borderId="11" xfId="0" applyFont="1" applyFill="1" applyBorder="1" applyAlignment="1">
      <alignment vertical="center" wrapText="1"/>
    </xf>
    <xf numFmtId="0" fontId="24" fillId="13" borderId="12" xfId="0" applyFont="1" applyFill="1" applyBorder="1" applyAlignment="1" applyProtection="1">
      <alignment horizontal="center" vertical="center" wrapText="1"/>
      <protection locked="0"/>
    </xf>
    <xf numFmtId="0" fontId="10" fillId="13" borderId="14" xfId="0" applyFont="1" applyFill="1" applyBorder="1" applyAlignment="1" applyProtection="1">
      <alignment horizontal="center" vertical="center" wrapText="1"/>
      <protection locked="0"/>
    </xf>
    <xf numFmtId="0" fontId="25" fillId="0" borderId="10" xfId="0" applyFont="1" applyBorder="1" applyAlignment="1" applyProtection="1">
      <alignment horizontal="center" wrapText="1"/>
      <protection locked="0"/>
    </xf>
    <xf numFmtId="0" fontId="25" fillId="0" borderId="11" xfId="0" applyFont="1" applyBorder="1" applyAlignment="1" applyProtection="1">
      <alignment horizontal="center" wrapText="1"/>
      <protection locked="0"/>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10" fillId="0" borderId="7" xfId="0" applyFont="1" applyBorder="1"/>
    <xf numFmtId="0" fontId="25" fillId="0" borderId="7" xfId="0" applyFont="1" applyBorder="1" applyAlignment="1" applyProtection="1">
      <alignment horizontal="center" wrapText="1"/>
      <protection locked="0"/>
    </xf>
    <xf numFmtId="0" fontId="25" fillId="26" borderId="11" xfId="0" applyFont="1" applyFill="1" applyBorder="1" applyAlignment="1" applyProtection="1">
      <alignment horizontal="center" wrapText="1"/>
      <protection locked="0"/>
    </xf>
    <xf numFmtId="0" fontId="10" fillId="26" borderId="11" xfId="0" applyFont="1" applyFill="1" applyBorder="1" applyAlignment="1">
      <alignment horizontal="right" vertical="top" wrapText="1"/>
    </xf>
    <xf numFmtId="0" fontId="10" fillId="26" borderId="7" xfId="0" applyFont="1" applyFill="1" applyBorder="1" applyAlignment="1">
      <alignment horizontal="right" vertical="top" wrapText="1"/>
    </xf>
    <xf numFmtId="0" fontId="8" fillId="26" borderId="7" xfId="0" applyFont="1" applyFill="1" applyBorder="1" applyAlignment="1">
      <alignment horizontal="right" vertical="top" wrapText="1"/>
    </xf>
    <xf numFmtId="0" fontId="10" fillId="0" borderId="12" xfId="0" applyFont="1" applyBorder="1" applyAlignment="1">
      <alignment horizontal="right" vertical="top" wrapText="1"/>
    </xf>
    <xf numFmtId="0" fontId="8" fillId="0" borderId="1" xfId="0" applyFont="1" applyBorder="1" applyAlignment="1">
      <alignment horizontal="right" vertical="top" wrapText="1"/>
    </xf>
    <xf numFmtId="0" fontId="14" fillId="0" borderId="12" xfId="0" applyFont="1" applyBorder="1" applyAlignment="1">
      <alignment horizontal="right" vertical="top" wrapText="1"/>
    </xf>
    <xf numFmtId="0" fontId="8" fillId="0" borderId="8" xfId="0" applyFont="1" applyBorder="1" applyAlignment="1">
      <alignment horizontal="right" vertical="top" wrapText="1"/>
    </xf>
    <xf numFmtId="0" fontId="23" fillId="26" borderId="7" xfId="0" applyFont="1" applyFill="1" applyBorder="1" applyAlignment="1">
      <alignment horizontal="center" wrapText="1"/>
    </xf>
    <xf numFmtId="0" fontId="10" fillId="26" borderId="7" xfId="0" applyFont="1" applyFill="1" applyBorder="1" applyAlignment="1">
      <alignment vertical="top" wrapText="1"/>
    </xf>
    <xf numFmtId="0" fontId="24" fillId="26" borderId="7" xfId="0" applyFont="1" applyFill="1" applyBorder="1" applyAlignment="1">
      <alignment horizontal="center" wrapText="1"/>
    </xf>
    <xf numFmtId="0" fontId="14" fillId="26" borderId="7" xfId="0" applyFont="1" applyFill="1" applyBorder="1" applyAlignment="1">
      <alignment vertical="top" wrapText="1"/>
    </xf>
    <xf numFmtId="0" fontId="14" fillId="26" borderId="7" xfId="0" applyFont="1" applyFill="1" applyBorder="1" applyAlignment="1">
      <alignment horizontal="right" vertical="top" wrapText="1"/>
    </xf>
    <xf numFmtId="0" fontId="10" fillId="26" borderId="7" xfId="0" applyFont="1" applyFill="1" applyBorder="1" applyAlignment="1">
      <alignment vertical="center" wrapText="1"/>
    </xf>
    <xf numFmtId="0" fontId="24" fillId="26" borderId="13" xfId="0" applyFont="1" applyFill="1" applyBorder="1" applyAlignment="1" applyProtection="1">
      <alignment horizontal="center" wrapText="1"/>
      <protection locked="0"/>
    </xf>
    <xf numFmtId="0" fontId="14" fillId="26" borderId="7" xfId="0" applyFont="1" applyFill="1" applyBorder="1" applyAlignment="1">
      <alignment vertical="center" wrapText="1"/>
    </xf>
    <xf numFmtId="0" fontId="24" fillId="26" borderId="7" xfId="0" applyFont="1" applyFill="1" applyBorder="1" applyAlignment="1" applyProtection="1">
      <alignment horizontal="center" wrapText="1"/>
      <protection locked="0"/>
    </xf>
    <xf numFmtId="164" fontId="10" fillId="26" borderId="7" xfId="0" applyNumberFormat="1" applyFont="1" applyFill="1" applyBorder="1" applyAlignment="1">
      <alignment vertical="center" wrapText="1"/>
    </xf>
    <xf numFmtId="0" fontId="10" fillId="0" borderId="1"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164" fontId="10" fillId="0" borderId="7" xfId="0" applyNumberFormat="1" applyFont="1" applyBorder="1" applyAlignment="1">
      <alignment vertical="center" wrapText="1"/>
    </xf>
    <xf numFmtId="2" fontId="10" fillId="0" borderId="10" xfId="0" applyNumberFormat="1" applyFont="1" applyBorder="1" applyAlignment="1">
      <alignment vertical="center" wrapText="1"/>
    </xf>
    <xf numFmtId="0" fontId="8" fillId="0" borderId="10" xfId="0" applyFont="1" applyFill="1" applyBorder="1" applyAlignment="1">
      <alignment horizontal="center" wrapText="1"/>
    </xf>
    <xf numFmtId="0" fontId="8" fillId="0" borderId="3" xfId="0" applyFont="1" applyFill="1" applyBorder="1" applyAlignment="1">
      <alignment horizontal="center" wrapText="1"/>
    </xf>
    <xf numFmtId="0" fontId="8" fillId="0" borderId="13" xfId="0" applyFont="1" applyFill="1" applyBorder="1" applyAlignment="1" applyProtection="1">
      <alignment horizontal="center" wrapText="1"/>
      <protection locked="0"/>
    </xf>
    <xf numFmtId="0" fontId="8" fillId="0" borderId="11" xfId="0" applyFont="1" applyBorder="1" applyAlignment="1" applyProtection="1">
      <alignment horizontal="center" wrapText="1"/>
      <protection locked="0"/>
    </xf>
    <xf numFmtId="0" fontId="8" fillId="0" borderId="10" xfId="0" applyFont="1" applyBorder="1" applyAlignment="1" applyProtection="1">
      <alignment horizontal="center" wrapText="1"/>
      <protection locked="0"/>
    </xf>
    <xf numFmtId="0" fontId="8" fillId="0" borderId="10" xfId="0" applyFont="1" applyBorder="1" applyAlignment="1" applyProtection="1">
      <alignment wrapText="1"/>
      <protection locked="0"/>
    </xf>
    <xf numFmtId="0" fontId="8" fillId="0" borderId="7" xfId="0" applyFont="1" applyBorder="1" applyAlignment="1" applyProtection="1">
      <alignment horizontal="center" wrapText="1"/>
      <protection locked="0"/>
    </xf>
    <xf numFmtId="0" fontId="14" fillId="0" borderId="11" xfId="0"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8" fillId="26" borderId="13" xfId="0" applyFont="1" applyFill="1" applyBorder="1" applyAlignment="1">
      <alignment horizontal="center" wrapText="1"/>
    </xf>
    <xf numFmtId="0" fontId="10" fillId="26" borderId="7" xfId="0" applyFont="1" applyFill="1" applyBorder="1" applyAlignment="1">
      <alignment horizontal="right" vertical="center" wrapText="1"/>
    </xf>
    <xf numFmtId="0" fontId="8" fillId="0" borderId="7" xfId="0" applyFont="1" applyBorder="1" applyAlignment="1">
      <alignment horizontal="right" vertical="center" wrapText="1"/>
    </xf>
    <xf numFmtId="2" fontId="10" fillId="26" borderId="7" xfId="0" applyNumberFormat="1" applyFont="1" applyFill="1" applyBorder="1" applyAlignment="1">
      <alignment vertical="center" wrapText="1"/>
    </xf>
    <xf numFmtId="2" fontId="10" fillId="23" borderId="7" xfId="0" applyNumberFormat="1" applyFont="1" applyFill="1" applyBorder="1"/>
    <xf numFmtId="164" fontId="8" fillId="0" borderId="7" xfId="0" applyNumberFormat="1" applyFont="1" applyBorder="1" applyAlignment="1">
      <alignment horizontal="right" vertical="top" wrapText="1"/>
    </xf>
    <xf numFmtId="0" fontId="24" fillId="0" borderId="3" xfId="0" applyFont="1" applyFill="1" applyBorder="1" applyAlignment="1" applyProtection="1">
      <alignment horizontal="center" wrapText="1"/>
      <protection locked="0"/>
    </xf>
    <xf numFmtId="0" fontId="24" fillId="0" borderId="9" xfId="0" applyFont="1" applyBorder="1" applyAlignment="1">
      <alignment horizontal="center" vertical="center" wrapText="1"/>
    </xf>
    <xf numFmtId="0" fontId="39"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wrapText="1"/>
      <protection locked="0"/>
    </xf>
    <xf numFmtId="0" fontId="8" fillId="0" borderId="0" xfId="0" applyFont="1" applyFill="1" applyBorder="1" applyAlignment="1">
      <alignment vertical="top" wrapText="1"/>
    </xf>
    <xf numFmtId="0" fontId="8" fillId="0" borderId="0" xfId="0" applyFont="1" applyFill="1" applyBorder="1" applyAlignment="1">
      <alignment horizontal="right" vertical="center" wrapText="1"/>
    </xf>
    <xf numFmtId="0" fontId="8" fillId="0" borderId="0" xfId="0" applyFont="1" applyBorder="1" applyAlignment="1">
      <alignment horizontal="left" vertical="top" wrapText="1"/>
    </xf>
    <xf numFmtId="0" fontId="10" fillId="13" borderId="7" xfId="0" applyFont="1" applyFill="1" applyBorder="1" applyAlignment="1">
      <alignment horizontal="left" vertical="center" wrapText="1"/>
    </xf>
    <xf numFmtId="0" fontId="12" fillId="0" borderId="7" xfId="0" applyFont="1" applyBorder="1" applyAlignment="1">
      <alignment horizontal="left" vertical="top" wrapText="1"/>
    </xf>
    <xf numFmtId="0" fontId="10" fillId="13" borderId="7" xfId="0" applyFont="1" applyFill="1" applyBorder="1" applyAlignment="1">
      <alignment horizontal="left" vertical="center"/>
    </xf>
    <xf numFmtId="0" fontId="10" fillId="13" borderId="7" xfId="0" applyFont="1" applyFill="1" applyBorder="1" applyAlignment="1">
      <alignment horizontal="center" vertical="top"/>
    </xf>
    <xf numFmtId="0" fontId="10" fillId="5" borderId="12" xfId="0" applyFont="1" applyFill="1" applyBorder="1" applyAlignment="1">
      <alignment horizontal="center" vertical="center"/>
    </xf>
    <xf numFmtId="0" fontId="10" fillId="12" borderId="7" xfId="0" applyFont="1" applyFill="1" applyBorder="1" applyAlignment="1">
      <alignment horizontal="center" vertical="top"/>
    </xf>
    <xf numFmtId="0" fontId="10" fillId="5" borderId="7" xfId="0" applyFont="1" applyFill="1" applyBorder="1" applyAlignment="1">
      <alignment horizontal="center" vertical="top"/>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10" fillId="5" borderId="7"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8" borderId="7"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0" fillId="15" borderId="7"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3" borderId="7" xfId="0" applyFont="1" applyFill="1" applyBorder="1" applyAlignment="1">
      <alignment horizontal="center" vertical="center"/>
    </xf>
    <xf numFmtId="0" fontId="10" fillId="13" borderId="7" xfId="0" applyFont="1" applyFill="1" applyBorder="1" applyAlignment="1" applyProtection="1">
      <alignment horizontal="center" vertical="center" wrapText="1"/>
      <protection locked="0"/>
    </xf>
    <xf numFmtId="0" fontId="10" fillId="0" borderId="7" xfId="0" applyFont="1" applyBorder="1" applyAlignment="1">
      <alignment horizontal="left" vertical="center" wrapText="1"/>
    </xf>
    <xf numFmtId="0" fontId="14" fillId="0" borderId="12" xfId="0" applyFont="1" applyBorder="1" applyAlignment="1">
      <alignment horizontal="center" vertical="center" wrapText="1"/>
    </xf>
    <xf numFmtId="0" fontId="10" fillId="11" borderId="7" xfId="0" applyFont="1" applyFill="1" applyBorder="1" applyAlignment="1">
      <alignment horizontal="center" vertical="center"/>
    </xf>
    <xf numFmtId="0" fontId="10" fillId="16" borderId="7" xfId="0" applyFont="1" applyFill="1" applyBorder="1" applyAlignment="1">
      <alignment horizontal="center" vertical="center"/>
    </xf>
    <xf numFmtId="0" fontId="12" fillId="0" borderId="7" xfId="0" applyFont="1" applyBorder="1" applyAlignment="1">
      <alignment horizontal="left" vertical="center" wrapText="1"/>
    </xf>
    <xf numFmtId="0" fontId="18" fillId="13" borderId="7" xfId="0" applyFont="1" applyFill="1" applyBorder="1" applyAlignment="1" applyProtection="1">
      <alignment horizontal="center" vertical="center" wrapText="1"/>
      <protection locked="0"/>
    </xf>
    <xf numFmtId="0" fontId="10" fillId="17" borderId="7" xfId="0" applyFont="1" applyFill="1" applyBorder="1" applyAlignment="1">
      <alignment horizontal="center" vertical="center"/>
    </xf>
    <xf numFmtId="0" fontId="18" fillId="0" borderId="12" xfId="0" applyFont="1" applyBorder="1" applyAlignment="1">
      <alignment horizontal="left" vertical="center" wrapText="1"/>
    </xf>
    <xf numFmtId="0" fontId="10" fillId="6" borderId="7" xfId="0" applyFont="1" applyFill="1" applyBorder="1" applyAlignment="1">
      <alignment horizontal="center" vertical="center"/>
    </xf>
    <xf numFmtId="0" fontId="8" fillId="0" borderId="7" xfId="0" applyFont="1" applyBorder="1" applyAlignment="1" applyProtection="1">
      <alignment horizontal="left" vertical="center"/>
      <protection locked="0"/>
    </xf>
    <xf numFmtId="0" fontId="8" fillId="0" borderId="7" xfId="0" applyFont="1" applyBorder="1" applyAlignment="1" applyProtection="1">
      <alignment horizontal="left" vertical="center" wrapText="1"/>
      <protection locked="0"/>
    </xf>
    <xf numFmtId="0" fontId="18" fillId="0" borderId="7" xfId="0" applyFont="1" applyBorder="1" applyAlignment="1">
      <alignment horizontal="left" vertical="center" wrapText="1"/>
    </xf>
    <xf numFmtId="0" fontId="10" fillId="18" borderId="7" xfId="0" applyFont="1" applyFill="1" applyBorder="1" applyAlignment="1">
      <alignment horizontal="center" vertical="center"/>
    </xf>
    <xf numFmtId="0" fontId="14" fillId="0" borderId="7" xfId="0" applyFont="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26" fillId="0" borderId="13" xfId="0" applyFont="1" applyFill="1" applyBorder="1" applyAlignment="1" applyProtection="1">
      <alignment horizontal="center" wrapText="1"/>
      <protection locked="0"/>
    </xf>
    <xf numFmtId="0" fontId="12" fillId="6" borderId="7" xfId="0" applyFont="1" applyFill="1" applyBorder="1" applyAlignment="1">
      <alignment horizontal="left" vertical="center" wrapText="1"/>
    </xf>
    <xf numFmtId="0" fontId="7"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left" wrapText="1"/>
    </xf>
    <xf numFmtId="0" fontId="6" fillId="3" borderId="0" xfId="0" applyFont="1" applyFill="1" applyBorder="1" applyAlignment="1">
      <alignment wrapText="1"/>
    </xf>
    <xf numFmtId="0" fontId="6" fillId="4" borderId="0" xfId="0" applyFont="1" applyFill="1" applyBorder="1" applyAlignment="1">
      <alignment wrapText="1"/>
    </xf>
    <xf numFmtId="0" fontId="8" fillId="0" borderId="0" xfId="0" applyFont="1" applyBorder="1" applyAlignment="1">
      <alignment wrapText="1"/>
    </xf>
    <xf numFmtId="0" fontId="8" fillId="0" borderId="0" xfId="0" applyFont="1" applyBorder="1" applyAlignment="1">
      <alignment horizontal="left" wrapText="1"/>
    </xf>
    <xf numFmtId="0" fontId="17" fillId="0" borderId="5" xfId="0" applyFont="1" applyBorder="1" applyAlignment="1">
      <alignment wrapText="1"/>
    </xf>
    <xf numFmtId="0" fontId="7" fillId="0" borderId="6" xfId="0" applyFont="1" applyBorder="1" applyAlignment="1">
      <alignment wrapText="1"/>
    </xf>
    <xf numFmtId="0" fontId="7" fillId="0" borderId="5" xfId="0" applyFont="1" applyBorder="1" applyAlignment="1">
      <alignment wrapText="1"/>
    </xf>
    <xf numFmtId="0" fontId="11" fillId="5" borderId="0" xfId="0" applyFont="1" applyFill="1" applyBorder="1" applyAlignment="1">
      <alignment horizontal="left" wrapText="1"/>
    </xf>
    <xf numFmtId="0" fontId="11" fillId="5" borderId="0" xfId="0" applyFont="1" applyFill="1" applyBorder="1" applyAlignment="1">
      <alignment wrapText="1"/>
    </xf>
    <xf numFmtId="0" fontId="7" fillId="5" borderId="0" xfId="0" applyFont="1" applyFill="1" applyBorder="1" applyAlignment="1">
      <alignment wrapText="1"/>
    </xf>
    <xf numFmtId="2" fontId="8" fillId="0" borderId="0" xfId="0" applyNumberFormat="1" applyFont="1" applyBorder="1" applyAlignment="1">
      <alignment horizontal="right" wrapText="1"/>
    </xf>
    <xf numFmtId="0" fontId="11" fillId="6" borderId="0" xfId="0" applyFont="1" applyFill="1" applyBorder="1" applyAlignment="1">
      <alignment horizontal="left" wrapText="1"/>
    </xf>
    <xf numFmtId="0" fontId="11" fillId="6" borderId="0" xfId="0" applyFont="1" applyFill="1" applyBorder="1" applyAlignment="1">
      <alignment wrapText="1"/>
    </xf>
    <xf numFmtId="0" fontId="7" fillId="6" borderId="0" xfId="0" applyFont="1" applyFill="1" applyBorder="1" applyAlignment="1">
      <alignment wrapText="1"/>
    </xf>
    <xf numFmtId="0" fontId="6" fillId="7" borderId="0" xfId="0" applyFont="1" applyFill="1" applyBorder="1" applyAlignment="1">
      <alignment wrapText="1"/>
    </xf>
    <xf numFmtId="0" fontId="11" fillId="8" borderId="0" xfId="0" applyFont="1" applyFill="1" applyBorder="1" applyAlignment="1">
      <alignment horizontal="left" wrapText="1"/>
    </xf>
    <xf numFmtId="0" fontId="11" fillId="8" borderId="0" xfId="0" applyFont="1" applyFill="1" applyBorder="1" applyAlignment="1">
      <alignment wrapText="1"/>
    </xf>
    <xf numFmtId="0" fontId="6" fillId="9" borderId="0" xfId="0" applyFont="1" applyFill="1" applyBorder="1" applyAlignment="1">
      <alignment wrapText="1"/>
    </xf>
    <xf numFmtId="0" fontId="7" fillId="2" borderId="0" xfId="0" applyFont="1" applyFill="1" applyBorder="1" applyAlignment="1">
      <alignment wrapText="1"/>
    </xf>
    <xf numFmtId="0" fontId="29" fillId="20" borderId="0" xfId="0" applyFont="1" applyFill="1" applyBorder="1" applyAlignment="1" applyProtection="1">
      <alignment horizontal="right" wrapText="1"/>
      <protection locked="0"/>
    </xf>
    <xf numFmtId="0" fontId="30" fillId="19" borderId="0" xfId="0" applyFont="1" applyFill="1" applyBorder="1" applyAlignment="1">
      <alignment horizontal="right" wrapText="1"/>
    </xf>
    <xf numFmtId="0" fontId="28" fillId="0" borderId="0" xfId="0" applyFont="1" applyBorder="1" applyAlignment="1">
      <alignment wrapText="1"/>
    </xf>
    <xf numFmtId="0" fontId="7" fillId="2" borderId="0" xfId="0" applyFont="1" applyFill="1" applyBorder="1" applyAlignment="1">
      <alignment horizontal="right" wrapText="1"/>
    </xf>
    <xf numFmtId="0" fontId="6" fillId="10" borderId="0" xfId="0" applyFont="1" applyFill="1" applyBorder="1" applyAlignment="1">
      <alignment wrapText="1"/>
    </xf>
    <xf numFmtId="0" fontId="11" fillId="11" borderId="0" xfId="0" applyFont="1" applyFill="1" applyBorder="1" applyAlignment="1">
      <alignment horizontal="left" wrapText="1"/>
    </xf>
    <xf numFmtId="0" fontId="11" fillId="11" borderId="0" xfId="0" applyFont="1" applyFill="1" applyBorder="1" applyAlignment="1">
      <alignment wrapText="1"/>
    </xf>
    <xf numFmtId="0" fontId="7" fillId="11" borderId="0" xfId="0" applyFont="1" applyFill="1" applyBorder="1" applyAlignment="1">
      <alignment wrapText="1"/>
    </xf>
    <xf numFmtId="0" fontId="16" fillId="0" borderId="0" xfId="0" applyFont="1" applyBorder="1" applyAlignment="1">
      <alignment wrapText="1"/>
    </xf>
    <xf numFmtId="0" fontId="7" fillId="0" borderId="0" xfId="0" applyFont="1" applyAlignment="1">
      <alignment horizontal="right" wrapText="1"/>
    </xf>
    <xf numFmtId="0" fontId="8" fillId="0" borderId="0" xfId="0" applyFont="1" applyBorder="1" applyAlignment="1">
      <alignment horizontal="right" wrapText="1"/>
    </xf>
    <xf numFmtId="0" fontId="8" fillId="0" borderId="0" xfId="0" applyFont="1" applyBorder="1" applyAlignment="1">
      <alignment horizontal="center" wrapText="1"/>
    </xf>
    <xf numFmtId="0" fontId="24" fillId="0" borderId="10" xfId="0" applyFont="1" applyFill="1" applyBorder="1" applyAlignment="1" applyProtection="1">
      <alignment wrapText="1"/>
      <protection locked="0"/>
    </xf>
    <xf numFmtId="0" fontId="24" fillId="0" borderId="4" xfId="0" applyFont="1" applyFill="1" applyBorder="1" applyAlignment="1" applyProtection="1">
      <alignment wrapText="1"/>
      <protection locked="0"/>
    </xf>
    <xf numFmtId="0" fontId="8" fillId="0" borderId="0" xfId="0" applyFont="1" applyAlignment="1">
      <alignment horizontal="left" vertical="center" wrapText="1"/>
    </xf>
    <xf numFmtId="0" fontId="25" fillId="0" borderId="11" xfId="0" applyFont="1" applyBorder="1" applyAlignment="1" applyProtection="1">
      <alignment horizontal="center" wrapText="1"/>
      <protection locked="0"/>
    </xf>
    <xf numFmtId="0" fontId="24" fillId="0" borderId="10" xfId="0" applyFont="1" applyFill="1" applyBorder="1" applyAlignment="1" applyProtection="1">
      <alignment horizontal="center" wrapText="1"/>
      <protection locked="0"/>
    </xf>
    <xf numFmtId="0" fontId="24" fillId="0" borderId="10" xfId="0" applyFont="1" applyBorder="1" applyAlignment="1" applyProtection="1">
      <alignment horizontal="center" wrapText="1"/>
      <protection locked="0"/>
    </xf>
    <xf numFmtId="2" fontId="11" fillId="8" borderId="0" xfId="0" applyNumberFormat="1" applyFont="1" applyFill="1" applyBorder="1" applyAlignment="1">
      <alignment horizontal="right" wrapText="1"/>
    </xf>
    <xf numFmtId="2" fontId="6" fillId="10" borderId="0" xfId="0" applyNumberFormat="1" applyFont="1" applyFill="1" applyBorder="1" applyAlignment="1">
      <alignment horizontal="right" wrapText="1"/>
    </xf>
    <xf numFmtId="2" fontId="11" fillId="11" borderId="0" xfId="0" applyNumberFormat="1" applyFont="1" applyFill="1" applyBorder="1" applyAlignment="1">
      <alignment horizontal="right" wrapText="1"/>
    </xf>
    <xf numFmtId="2" fontId="6" fillId="7" borderId="0" xfId="0" applyNumberFormat="1" applyFont="1" applyFill="1" applyBorder="1" applyAlignment="1">
      <alignment horizontal="right" wrapText="1"/>
    </xf>
    <xf numFmtId="2" fontId="11" fillId="5" borderId="0" xfId="0" applyNumberFormat="1" applyFont="1" applyFill="1" applyBorder="1" applyAlignment="1">
      <alignment horizontal="right" wrapText="1"/>
    </xf>
    <xf numFmtId="2" fontId="6" fillId="3" borderId="0" xfId="0" applyNumberFormat="1" applyFont="1" applyFill="1" applyBorder="1" applyAlignment="1">
      <alignment horizontal="right" wrapText="1"/>
    </xf>
    <xf numFmtId="2" fontId="6" fillId="4" borderId="0" xfId="0" applyNumberFormat="1" applyFont="1" applyFill="1" applyBorder="1" applyAlignment="1">
      <alignment wrapText="1"/>
    </xf>
    <xf numFmtId="2" fontId="11" fillId="6" borderId="0" xfId="0" applyNumberFormat="1" applyFont="1" applyFill="1" applyBorder="1" applyAlignment="1">
      <alignment wrapText="1"/>
    </xf>
    <xf numFmtId="2" fontId="6" fillId="9" borderId="0" xfId="0" applyNumberFormat="1" applyFont="1" applyFill="1" applyBorder="1" applyAlignment="1">
      <alignment wrapText="1"/>
    </xf>
    <xf numFmtId="2" fontId="7" fillId="2" borderId="0" xfId="0" applyNumberFormat="1" applyFont="1" applyFill="1" applyBorder="1" applyAlignment="1">
      <alignment wrapText="1"/>
    </xf>
    <xf numFmtId="0" fontId="8" fillId="0" borderId="7" xfId="0" applyFont="1" applyFill="1" applyBorder="1" applyAlignment="1" applyProtection="1">
      <alignment vertical="center" wrapText="1"/>
    </xf>
    <xf numFmtId="0" fontId="6" fillId="27" borderId="0" xfId="0" applyFont="1" applyFill="1" applyBorder="1" applyAlignment="1">
      <alignment wrapText="1"/>
    </xf>
    <xf numFmtId="2" fontId="6" fillId="27" borderId="0" xfId="0" applyNumberFormat="1" applyFont="1" applyFill="1" applyBorder="1" applyAlignment="1">
      <alignment wrapText="1"/>
    </xf>
    <xf numFmtId="0" fontId="6" fillId="27" borderId="5" xfId="0" applyFont="1" applyFill="1" applyBorder="1"/>
    <xf numFmtId="0" fontId="6" fillId="27" borderId="0" xfId="0" applyFont="1" applyFill="1"/>
    <xf numFmtId="0" fontId="8" fillId="0" borderId="7" xfId="0" applyFont="1" applyBorder="1" applyAlignment="1">
      <alignment horizontal="center" vertical="center" wrapText="1"/>
    </xf>
    <xf numFmtId="0" fontId="41" fillId="28" borderId="7" xfId="0" applyFont="1" applyFill="1" applyBorder="1" applyAlignment="1">
      <alignment vertical="center" wrapText="1"/>
    </xf>
    <xf numFmtId="0" fontId="41" fillId="28" borderId="7" xfId="0" applyFont="1" applyFill="1" applyBorder="1" applyAlignment="1">
      <alignment horizontal="center" vertical="center" wrapText="1"/>
    </xf>
    <xf numFmtId="0" fontId="6" fillId="29" borderId="5" xfId="0" applyFont="1" applyFill="1" applyBorder="1"/>
    <xf numFmtId="0" fontId="6" fillId="29" borderId="0" xfId="0" applyFont="1" applyFill="1"/>
    <xf numFmtId="0" fontId="40" fillId="0" borderId="0" xfId="0" applyFont="1"/>
    <xf numFmtId="2" fontId="8" fillId="0" borderId="7" xfId="0" applyNumberFormat="1" applyFont="1" applyBorder="1" applyAlignment="1">
      <alignment horizontal="center" vertical="center" wrapText="1"/>
    </xf>
    <xf numFmtId="2" fontId="6" fillId="29" borderId="0" xfId="0" applyNumberFormat="1" applyFont="1" applyFill="1" applyAlignment="1">
      <alignment horizontal="center"/>
    </xf>
    <xf numFmtId="2" fontId="6" fillId="9" borderId="0" xfId="0" applyNumberFormat="1" applyFont="1" applyFill="1"/>
    <xf numFmtId="2" fontId="20" fillId="4" borderId="0" xfId="0" applyNumberFormat="1" applyFont="1" applyFill="1" applyAlignment="1">
      <alignment horizontal="right"/>
    </xf>
    <xf numFmtId="2" fontId="20" fillId="9" borderId="0" xfId="0" applyNumberFormat="1" applyFont="1" applyFill="1" applyAlignment="1">
      <alignment horizontal="right"/>
    </xf>
    <xf numFmtId="2" fontId="6" fillId="10" borderId="0" xfId="0" applyNumberFormat="1" applyFont="1" applyFill="1"/>
    <xf numFmtId="2" fontId="6" fillId="14" borderId="0" xfId="0" applyNumberFormat="1" applyFont="1" applyFill="1"/>
    <xf numFmtId="2" fontId="6" fillId="3" borderId="0" xfId="0" applyNumberFormat="1" applyFont="1" applyFill="1" applyAlignment="1">
      <alignment horizontal="right" vertical="top"/>
    </xf>
    <xf numFmtId="2" fontId="6" fillId="9" borderId="0" xfId="0" applyNumberFormat="1" applyFont="1" applyFill="1" applyAlignment="1">
      <alignment horizontal="right" vertical="top"/>
    </xf>
    <xf numFmtId="0" fontId="8" fillId="0" borderId="13"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10" fillId="25" borderId="12" xfId="0" applyFont="1" applyFill="1" applyBorder="1" applyAlignment="1"/>
    <xf numFmtId="0" fontId="10" fillId="25" borderId="14" xfId="0" applyFont="1" applyFill="1" applyBorder="1" applyAlignment="1"/>
    <xf numFmtId="0" fontId="10" fillId="25" borderId="14" xfId="0" applyFont="1" applyFill="1" applyBorder="1" applyAlignment="1" applyProtection="1">
      <protection locked="0"/>
    </xf>
    <xf numFmtId="0" fontId="8" fillId="0" borderId="3" xfId="0" applyFont="1" applyFill="1" applyBorder="1" applyAlignment="1" applyProtection="1">
      <alignment horizontal="center" wrapText="1"/>
      <protection locked="0"/>
    </xf>
    <xf numFmtId="0" fontId="23" fillId="0" borderId="7" xfId="0" applyFont="1" applyBorder="1" applyAlignment="1" applyProtection="1">
      <alignment horizontal="center" wrapText="1"/>
      <protection locked="0"/>
    </xf>
    <xf numFmtId="0" fontId="14" fillId="0" borderId="0" xfId="0" applyFont="1" applyAlignment="1" applyProtection="1">
      <alignment horizontal="center" vertical="center" wrapText="1"/>
      <protection locked="0"/>
    </xf>
    <xf numFmtId="0" fontId="14" fillId="0" borderId="0" xfId="0" applyFont="1" applyFill="1" applyAlignment="1" applyProtection="1">
      <alignment horizontal="center" wrapText="1"/>
      <protection locked="0"/>
    </xf>
    <xf numFmtId="0" fontId="24" fillId="13" borderId="1" xfId="0" applyFont="1" applyFill="1" applyBorder="1" applyAlignment="1">
      <alignment horizontal="center" vertical="center" wrapText="1"/>
    </xf>
    <xf numFmtId="2" fontId="7" fillId="0" borderId="0" xfId="0" applyNumberFormat="1" applyFont="1" applyBorder="1" applyAlignment="1">
      <alignment wrapText="1"/>
    </xf>
    <xf numFmtId="0" fontId="8" fillId="0" borderId="0" xfId="0" applyFont="1" applyProtection="1">
      <protection locked="0"/>
    </xf>
    <xf numFmtId="0" fontId="10" fillId="0" borderId="0" xfId="0" applyFont="1" applyProtection="1">
      <protection locked="0"/>
    </xf>
    <xf numFmtId="0" fontId="20" fillId="0" borderId="0" xfId="0" applyFont="1" applyBorder="1" applyAlignment="1" applyProtection="1">
      <alignment horizontal="center"/>
      <protection locked="0"/>
    </xf>
    <xf numFmtId="0" fontId="10" fillId="0" borderId="0" xfId="0" applyFont="1" applyBorder="1" applyAlignment="1" applyProtection="1">
      <alignment vertical="center"/>
      <protection locked="0"/>
    </xf>
    <xf numFmtId="0" fontId="10" fillId="0" borderId="0" xfId="0" applyFont="1" applyAlignment="1" applyProtection="1">
      <alignment vertical="center"/>
      <protection locked="0"/>
    </xf>
    <xf numFmtId="0" fontId="12" fillId="0" borderId="0" xfId="0" applyFont="1" applyProtection="1">
      <protection locked="0"/>
    </xf>
    <xf numFmtId="0" fontId="10" fillId="0" borderId="0" xfId="0" applyFont="1" applyAlignment="1" applyProtection="1">
      <alignment horizontal="center" vertical="center"/>
      <protection locked="0"/>
    </xf>
    <xf numFmtId="0" fontId="26" fillId="0" borderId="0" xfId="0" applyFont="1" applyFill="1" applyAlignment="1" applyProtection="1">
      <alignment horizontal="center" wrapText="1"/>
      <protection locked="0"/>
    </xf>
    <xf numFmtId="0" fontId="11" fillId="0" borderId="0" xfId="0" applyFont="1" applyAlignment="1" applyProtection="1">
      <alignment vertical="center"/>
      <protection locked="0"/>
    </xf>
    <xf numFmtId="0" fontId="11" fillId="0" borderId="0" xfId="0" applyFont="1" applyProtection="1">
      <protection locked="0"/>
    </xf>
    <xf numFmtId="0" fontId="6" fillId="0" borderId="0" xfId="0" applyFont="1" applyBorder="1" applyProtection="1">
      <protection locked="0"/>
    </xf>
    <xf numFmtId="0" fontId="8" fillId="13" borderId="7" xfId="0" applyFont="1" applyFill="1" applyBorder="1" applyAlignment="1" applyProtection="1">
      <alignment horizontal="right" vertical="center" wrapText="1"/>
      <protection locked="0"/>
    </xf>
    <xf numFmtId="0" fontId="7" fillId="0" borderId="0" xfId="0" applyFont="1" applyAlignment="1" applyProtection="1">
      <alignment horizontal="right"/>
      <protection locked="0"/>
    </xf>
    <xf numFmtId="0" fontId="14" fillId="0" borderId="0" xfId="0" applyFont="1" applyAlignment="1" applyProtection="1">
      <alignment vertical="top"/>
      <protection locked="0"/>
    </xf>
    <xf numFmtId="0" fontId="11" fillId="24" borderId="0" xfId="0" applyFont="1" applyFill="1" applyProtection="1">
      <protection locked="0"/>
    </xf>
    <xf numFmtId="0" fontId="8" fillId="0" borderId="7" xfId="0" applyFont="1" applyFill="1" applyBorder="1" applyAlignment="1" applyProtection="1">
      <alignment horizontal="right" vertical="center" wrapText="1"/>
      <protection locked="0"/>
    </xf>
    <xf numFmtId="0" fontId="7"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7" fillId="0" borderId="0" xfId="0" applyFont="1" applyAlignment="1" applyProtection="1">
      <alignment wrapText="1"/>
      <protection locked="0"/>
    </xf>
    <xf numFmtId="0" fontId="1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8" fillId="0" borderId="0" xfId="0" applyFont="1" applyFill="1" applyBorder="1" applyAlignment="1">
      <alignment vertical="center" wrapText="1"/>
    </xf>
    <xf numFmtId="0" fontId="2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10" fillId="0" borderId="0" xfId="0" applyFont="1" applyFill="1" applyBorder="1" applyAlignment="1">
      <alignment vertical="center" wrapText="1"/>
    </xf>
    <xf numFmtId="0" fontId="8" fillId="30" borderId="15" xfId="0" applyFont="1" applyFill="1" applyBorder="1" applyAlignment="1">
      <alignment vertical="center" wrapText="1"/>
    </xf>
    <xf numFmtId="0" fontId="1" fillId="0" borderId="16" xfId="3" applyFont="1" applyBorder="1"/>
    <xf numFmtId="0" fontId="1" fillId="21" borderId="15" xfId="3" applyFont="1" applyFill="1" applyBorder="1" applyAlignment="1">
      <alignment vertical="center" wrapText="1"/>
    </xf>
    <xf numFmtId="0" fontId="6" fillId="3" borderId="0" xfId="0" applyFont="1" applyFill="1" applyBorder="1" applyAlignment="1">
      <alignment vertical="top"/>
    </xf>
    <xf numFmtId="0" fontId="6" fillId="3" borderId="0" xfId="0" quotePrefix="1" applyFont="1" applyFill="1" applyBorder="1" applyAlignment="1">
      <alignment vertical="top"/>
    </xf>
    <xf numFmtId="0" fontId="0" fillId="0" borderId="0" xfId="0" quotePrefix="1"/>
    <xf numFmtId="0" fontId="15" fillId="0" borderId="8"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0" fillId="21" borderId="0" xfId="0" applyFill="1"/>
    <xf numFmtId="0" fontId="0" fillId="31" borderId="0" xfId="0" applyFill="1"/>
    <xf numFmtId="0" fontId="27" fillId="0" borderId="0" xfId="0" applyFont="1" applyBorder="1" applyAlignment="1">
      <alignment horizontal="center" wrapText="1"/>
    </xf>
    <xf numFmtId="0" fontId="6" fillId="10" borderId="0" xfId="0" applyFont="1" applyFill="1" applyBorder="1" applyAlignment="1">
      <alignment horizontal="left" wrapText="1"/>
    </xf>
    <xf numFmtId="0" fontId="29" fillId="20" borderId="0" xfId="0" applyFont="1" applyFill="1" applyBorder="1" applyAlignment="1">
      <alignment horizontal="center" wrapText="1"/>
    </xf>
    <xf numFmtId="0" fontId="7" fillId="2" borderId="0" xfId="0" applyFont="1" applyFill="1" applyBorder="1" applyAlignment="1">
      <alignment horizontal="center" wrapText="1"/>
    </xf>
    <xf numFmtId="0" fontId="6" fillId="4" borderId="0" xfId="0" applyFont="1" applyFill="1" applyBorder="1" applyAlignment="1">
      <alignment horizontal="left" wrapText="1"/>
    </xf>
    <xf numFmtId="0" fontId="6" fillId="9" borderId="0" xfId="0" applyFont="1" applyFill="1" applyBorder="1" applyAlignment="1">
      <alignment horizontal="left" wrapText="1"/>
    </xf>
    <xf numFmtId="0" fontId="6" fillId="3" borderId="0" xfId="0" applyFont="1" applyFill="1" applyBorder="1" applyAlignment="1">
      <alignment horizontal="left" wrapText="1"/>
    </xf>
    <xf numFmtId="0" fontId="6" fillId="7" borderId="0" xfId="0" applyFont="1" applyFill="1" applyBorder="1" applyAlignment="1">
      <alignment horizontal="left" wrapText="1"/>
    </xf>
    <xf numFmtId="0" fontId="6" fillId="27" borderId="0" xfId="0" applyFont="1" applyFill="1" applyBorder="1" applyAlignment="1">
      <alignment horizontal="left"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11" xfId="0" applyFont="1" applyBorder="1" applyAlignment="1">
      <alignment horizontal="center" vertical="top" wrapText="1"/>
    </xf>
    <xf numFmtId="0" fontId="10" fillId="13" borderId="7" xfId="0" applyFont="1" applyFill="1" applyBorder="1" applyAlignment="1">
      <alignment horizontal="left" vertical="center"/>
    </xf>
    <xf numFmtId="0" fontId="10" fillId="13" borderId="7" xfId="0" applyFont="1" applyFill="1" applyBorder="1" applyAlignment="1">
      <alignment horizontal="left" vertical="center" wrapText="1"/>
    </xf>
    <xf numFmtId="0" fontId="12" fillId="0" borderId="1" xfId="0" applyFont="1" applyBorder="1" applyAlignment="1" applyProtection="1">
      <alignment horizontal="center" vertical="top" wrapText="1"/>
      <protection locked="0"/>
    </xf>
    <xf numFmtId="0" fontId="12" fillId="0" borderId="5"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4" fillId="13" borderId="12" xfId="0" applyFont="1" applyFill="1" applyBorder="1" applyAlignment="1">
      <alignment horizontal="left" vertical="center" wrapText="1"/>
    </xf>
    <xf numFmtId="0" fontId="14" fillId="13" borderId="13" xfId="0" applyFont="1" applyFill="1" applyBorder="1" applyAlignment="1">
      <alignment horizontal="left" vertical="center" wrapText="1"/>
    </xf>
    <xf numFmtId="0" fontId="8" fillId="0" borderId="0" xfId="0" applyFont="1" applyAlignment="1">
      <alignment horizontal="left" vertical="center"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2" fillId="26" borderId="5" xfId="0" applyFont="1" applyFill="1" applyBorder="1" applyAlignment="1" applyProtection="1">
      <alignment horizontal="center" vertical="top" wrapText="1"/>
      <protection locked="0"/>
    </xf>
    <xf numFmtId="0" fontId="12" fillId="26" borderId="8" xfId="0" applyFont="1" applyFill="1" applyBorder="1" applyAlignment="1" applyProtection="1">
      <alignment horizontal="center" vertical="top" wrapText="1"/>
      <protection locked="0"/>
    </xf>
    <xf numFmtId="0" fontId="14" fillId="13" borderId="7" xfId="0" applyFont="1" applyFill="1" applyBorder="1" applyAlignment="1">
      <alignment horizontal="left" vertical="center" wrapText="1"/>
    </xf>
    <xf numFmtId="0" fontId="10" fillId="13" borderId="1" xfId="0" applyFont="1" applyFill="1" applyBorder="1" applyAlignment="1" applyProtection="1">
      <alignment horizontal="center" vertical="top" wrapText="1"/>
      <protection locked="0"/>
    </xf>
    <xf numFmtId="0" fontId="10" fillId="13" borderId="8" xfId="0" applyFont="1" applyFill="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0" fontId="24" fillId="0" borderId="10" xfId="0" applyFont="1" applyFill="1" applyBorder="1" applyAlignment="1" applyProtection="1">
      <alignment horizontal="center" wrapText="1"/>
      <protection locked="0"/>
    </xf>
    <xf numFmtId="0" fontId="24" fillId="0" borderId="11" xfId="0" applyFont="1" applyFill="1" applyBorder="1" applyAlignment="1" applyProtection="1">
      <alignment horizontal="center" wrapText="1"/>
      <protection locked="0"/>
    </xf>
    <xf numFmtId="0" fontId="14" fillId="0" borderId="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0" fillId="5" borderId="7" xfId="0" applyFont="1" applyFill="1" applyBorder="1" applyAlignment="1">
      <alignment horizontal="left" vertical="center"/>
    </xf>
    <xf numFmtId="0" fontId="8" fillId="0" borderId="7" xfId="0" applyFont="1" applyBorder="1" applyAlignment="1">
      <alignment horizontal="left" vertical="top"/>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8" fillId="0" borderId="10" xfId="0" applyFont="1" applyBorder="1" applyAlignment="1">
      <alignment horizontal="right" vertical="top" wrapText="1"/>
    </xf>
    <xf numFmtId="0" fontId="8" fillId="0" borderId="11" xfId="0" applyFont="1" applyBorder="1" applyAlignment="1">
      <alignment horizontal="righ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8" fillId="0" borderId="7" xfId="0" applyFont="1" applyBorder="1" applyAlignment="1">
      <alignment horizontal="center" vertical="top" wrapText="1"/>
    </xf>
    <xf numFmtId="0" fontId="14" fillId="0" borderId="1" xfId="0" applyFont="1" applyBorder="1" applyAlignment="1" applyProtection="1">
      <alignment horizontal="center" vertical="top" wrapText="1"/>
      <protection locked="0"/>
    </xf>
    <xf numFmtId="0" fontId="14" fillId="0" borderId="8" xfId="0" applyFont="1" applyBorder="1" applyAlignment="1" applyProtection="1">
      <alignment horizontal="center" vertical="top" wrapText="1"/>
      <protection locked="0"/>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2"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25" fillId="0" borderId="10" xfId="0" applyFont="1" applyBorder="1" applyAlignment="1" applyProtection="1">
      <alignment horizontal="center" wrapText="1"/>
      <protection locked="0"/>
    </xf>
    <xf numFmtId="0" fontId="25" fillId="0" borderId="11" xfId="0" applyFont="1" applyBorder="1" applyAlignment="1" applyProtection="1">
      <alignment horizontal="center" wrapText="1"/>
      <protection locked="0"/>
    </xf>
    <xf numFmtId="0" fontId="14" fillId="0" borderId="0" xfId="0" applyFont="1" applyAlignment="1" applyProtection="1">
      <alignment horizontal="left" vertical="top"/>
      <protection locked="0"/>
    </xf>
    <xf numFmtId="0" fontId="10" fillId="26" borderId="7" xfId="0" applyFont="1" applyFill="1" applyBorder="1" applyAlignment="1">
      <alignment horizontal="left" vertical="center" wrapText="1"/>
    </xf>
    <xf numFmtId="0" fontId="14" fillId="26" borderId="7" xfId="0" applyFont="1" applyFill="1" applyBorder="1" applyAlignment="1">
      <alignment horizontal="left" vertical="center" wrapText="1"/>
    </xf>
    <xf numFmtId="0" fontId="12" fillId="26" borderId="1" xfId="0" applyFont="1" applyFill="1" applyBorder="1" applyAlignment="1" applyProtection="1">
      <alignment horizontal="center" vertical="top" wrapText="1"/>
      <protection locked="0"/>
    </xf>
    <xf numFmtId="0" fontId="13" fillId="0" borderId="7" xfId="0" applyFont="1" applyBorder="1" applyAlignment="1">
      <alignment horizontal="left" vertical="top" wrapText="1"/>
    </xf>
    <xf numFmtId="0" fontId="25" fillId="0" borderId="9" xfId="0" applyFont="1" applyBorder="1" applyAlignment="1" applyProtection="1">
      <alignment horizontal="center" wrapText="1"/>
      <protection locked="0"/>
    </xf>
    <xf numFmtId="0" fontId="10" fillId="26" borderId="12" xfId="0" applyFont="1" applyFill="1" applyBorder="1" applyAlignment="1">
      <alignment horizontal="left" vertical="top" wrapText="1"/>
    </xf>
    <xf numFmtId="0" fontId="8" fillId="26" borderId="13" xfId="0" applyFont="1" applyFill="1" applyBorder="1" applyAlignment="1">
      <alignment horizontal="left" vertical="top" wrapText="1"/>
    </xf>
    <xf numFmtId="0" fontId="14" fillId="26" borderId="12" xfId="0" applyFont="1" applyFill="1" applyBorder="1" applyAlignment="1">
      <alignment horizontal="left" vertical="top" wrapText="1"/>
    </xf>
    <xf numFmtId="0" fontId="10" fillId="26" borderId="13" xfId="0" applyFont="1" applyFill="1" applyBorder="1" applyAlignment="1">
      <alignment horizontal="left" vertical="top" wrapText="1"/>
    </xf>
    <xf numFmtId="0" fontId="10" fillId="0" borderId="1"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2" fillId="0" borderId="1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4" fillId="0" borderId="12" xfId="0" applyFont="1" applyFill="1" applyBorder="1" applyAlignment="1">
      <alignment horizontal="left" wrapText="1"/>
    </xf>
    <xf numFmtId="0" fontId="14" fillId="0" borderId="13" xfId="0" applyFont="1" applyFill="1" applyBorder="1" applyAlignment="1">
      <alignment horizontal="left" wrapText="1"/>
    </xf>
    <xf numFmtId="0" fontId="18" fillId="0" borderId="1"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0" fillId="26" borderId="1" xfId="0" applyFont="1" applyFill="1" applyBorder="1" applyAlignment="1" applyProtection="1">
      <alignment horizontal="center" vertical="center" wrapText="1"/>
      <protection locked="0"/>
    </xf>
    <xf numFmtId="0" fontId="10" fillId="26" borderId="8" xfId="0" applyFont="1" applyFill="1" applyBorder="1" applyAlignment="1" applyProtection="1">
      <alignment horizontal="center" vertical="center" wrapText="1"/>
      <protection locked="0"/>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0" fillId="23" borderId="12" xfId="0" applyFont="1" applyFill="1" applyBorder="1" applyAlignment="1">
      <alignment horizontal="left"/>
    </xf>
    <xf numFmtId="0" fontId="10" fillId="23" borderId="13" xfId="0" applyFont="1" applyFill="1" applyBorder="1" applyAlignment="1">
      <alignment horizontal="left"/>
    </xf>
    <xf numFmtId="0" fontId="10" fillId="8" borderId="7" xfId="0" applyFont="1" applyFill="1" applyBorder="1" applyAlignment="1">
      <alignment horizontal="left" vertical="center"/>
    </xf>
    <xf numFmtId="0" fontId="8" fillId="0" borderId="7" xfId="0" applyFont="1" applyBorder="1" applyAlignment="1">
      <alignment horizontal="left" vertical="center"/>
    </xf>
    <xf numFmtId="0" fontId="24" fillId="0" borderId="10" xfId="0" applyFont="1" applyBorder="1" applyAlignment="1" applyProtection="1">
      <alignment horizontal="center" vertical="top" wrapText="1"/>
      <protection locked="0"/>
    </xf>
    <xf numFmtId="0" fontId="24" fillId="0" borderId="4" xfId="0" applyFont="1" applyBorder="1" applyAlignment="1" applyProtection="1">
      <alignment horizontal="center" vertical="top" wrapText="1"/>
      <protection locked="0"/>
    </xf>
    <xf numFmtId="0" fontId="24" fillId="0" borderId="11" xfId="0" applyFont="1" applyBorder="1" applyAlignment="1" applyProtection="1">
      <alignment horizontal="center" vertical="top" wrapText="1"/>
      <protection locked="0"/>
    </xf>
    <xf numFmtId="0" fontId="10" fillId="26" borderId="1" xfId="0" applyFont="1" applyFill="1" applyBorder="1" applyAlignment="1" applyProtection="1">
      <alignment vertical="center" wrapText="1"/>
      <protection locked="0"/>
    </xf>
    <xf numFmtId="0" fontId="10" fillId="26" borderId="8" xfId="0" applyFont="1" applyFill="1" applyBorder="1" applyAlignment="1" applyProtection="1">
      <alignment vertical="center" wrapText="1"/>
      <protection locked="0"/>
    </xf>
    <xf numFmtId="0" fontId="12" fillId="0" borderId="13"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0" fillId="26" borderId="12" xfId="0" applyFont="1" applyFill="1" applyBorder="1" applyAlignment="1">
      <alignment horizontal="left" vertical="center" wrapText="1"/>
    </xf>
    <xf numFmtId="0" fontId="10" fillId="26" borderId="13" xfId="0" applyFont="1" applyFill="1" applyBorder="1" applyAlignment="1">
      <alignment horizontal="left" vertical="center" wrapText="1"/>
    </xf>
    <xf numFmtId="0" fontId="14" fillId="26" borderId="12" xfId="0" applyFont="1" applyFill="1" applyBorder="1" applyAlignment="1">
      <alignment horizontal="left" vertical="center" wrapText="1"/>
    </xf>
    <xf numFmtId="0" fontId="14" fillId="26" borderId="13" xfId="0" applyFont="1" applyFill="1" applyBorder="1" applyAlignment="1">
      <alignment horizontal="left" vertical="center" wrapText="1"/>
    </xf>
    <xf numFmtId="0" fontId="35" fillId="26" borderId="1" xfId="0" applyFont="1" applyFill="1" applyBorder="1" applyAlignment="1" applyProtection="1">
      <alignment horizontal="center" vertical="center" wrapText="1"/>
      <protection locked="0"/>
    </xf>
    <xf numFmtId="0" fontId="35" fillId="26" borderId="8" xfId="0" applyFont="1" applyFill="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4" fillId="13" borderId="14" xfId="0" applyFont="1" applyFill="1" applyBorder="1" applyAlignment="1">
      <alignment horizontal="left" vertical="center" wrapText="1"/>
    </xf>
    <xf numFmtId="0" fontId="10" fillId="13" borderId="13"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xf>
    <xf numFmtId="0" fontId="10" fillId="11" borderId="7" xfId="0" applyFont="1" applyFill="1" applyBorder="1" applyAlignment="1">
      <alignment horizontal="left" vertical="center"/>
    </xf>
    <xf numFmtId="0" fontId="12" fillId="0" borderId="1"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protection locked="0"/>
    </xf>
    <xf numFmtId="0" fontId="10" fillId="13" borderId="8" xfId="0" applyFont="1" applyFill="1" applyBorder="1" applyAlignment="1" applyProtection="1">
      <alignment horizontal="center" vertical="center" wrapText="1"/>
      <protection locked="0"/>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4" fillId="0" borderId="10" xfId="0" applyFont="1" applyBorder="1" applyAlignment="1" applyProtection="1">
      <alignment horizontal="center" wrapText="1"/>
      <protection locked="0"/>
    </xf>
    <xf numFmtId="0" fontId="24" fillId="0" borderId="11" xfId="0" applyFont="1" applyBorder="1" applyAlignment="1" applyProtection="1">
      <alignment horizontal="center" wrapText="1"/>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4" fillId="13" borderId="10"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7" xfId="0" applyFont="1" applyFill="1" applyBorder="1" applyAlignment="1">
      <alignment horizontal="left" vertical="top" wrapText="1"/>
    </xf>
    <xf numFmtId="0" fontId="10" fillId="13" borderId="5"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top" wrapText="1"/>
    </xf>
    <xf numFmtId="0" fontId="14" fillId="0" borderId="5" xfId="0" applyFont="1" applyFill="1" applyBorder="1" applyAlignment="1">
      <alignment horizontal="left" wrapText="1"/>
    </xf>
    <xf numFmtId="0" fontId="14" fillId="0" borderId="6" xfId="0" applyFont="1" applyFill="1" applyBorder="1" applyAlignment="1">
      <alignment horizontal="left" wrapText="1"/>
    </xf>
    <xf numFmtId="0" fontId="14" fillId="0" borderId="8" xfId="0" applyFont="1" applyFill="1" applyBorder="1" applyAlignment="1">
      <alignment horizontal="left" wrapText="1"/>
    </xf>
    <xf numFmtId="0" fontId="14" fillId="0" borderId="9" xfId="0" applyFont="1" applyFill="1" applyBorder="1" applyAlignment="1">
      <alignment horizontal="left" wrapText="1"/>
    </xf>
    <xf numFmtId="0" fontId="14" fillId="0" borderId="10" xfId="0" applyFont="1" applyBorder="1" applyAlignment="1">
      <alignment horizontal="right" vertical="center" wrapText="1"/>
    </xf>
    <xf numFmtId="0" fontId="14" fillId="0" borderId="11" xfId="0" applyFont="1" applyBorder="1" applyAlignment="1">
      <alignment horizontal="right" vertical="center"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4" fillId="0" borderId="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8" fillId="13" borderId="7" xfId="0" applyFont="1" applyFill="1" applyBorder="1" applyAlignment="1" applyProtection="1">
      <alignment horizontal="center" vertical="center" wrapText="1"/>
      <protection locked="0"/>
    </xf>
    <xf numFmtId="0" fontId="10" fillId="17" borderId="7" xfId="0" applyFont="1" applyFill="1" applyBorder="1" applyAlignment="1">
      <alignment horizontal="left" vertical="center"/>
    </xf>
    <xf numFmtId="0" fontId="8" fillId="0" borderId="7" xfId="0" applyFont="1" applyBorder="1" applyAlignment="1">
      <alignment horizontal="left" vertical="center" wrapText="1"/>
    </xf>
    <xf numFmtId="0" fontId="12" fillId="0" borderId="7" xfId="0" applyFont="1" applyBorder="1" applyAlignment="1" applyProtection="1">
      <alignment horizontal="center" vertical="center" wrapText="1"/>
      <protection locked="0"/>
    </xf>
    <xf numFmtId="0" fontId="12" fillId="0" borderId="7" xfId="0" applyFont="1" applyBorder="1" applyAlignment="1">
      <alignment horizontal="left" vertical="center" wrapText="1"/>
    </xf>
    <xf numFmtId="0" fontId="18" fillId="13" borderId="1" xfId="0" applyFont="1" applyFill="1" applyBorder="1" applyAlignment="1" applyProtection="1">
      <alignment horizontal="center" vertical="center" wrapText="1"/>
      <protection locked="0"/>
    </xf>
    <xf numFmtId="0" fontId="18" fillId="13" borderId="8"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7" fillId="0" borderId="0" xfId="0" applyFont="1" applyAlignment="1" applyProtection="1">
      <alignment horizontal="left" vertical="top"/>
      <protection locked="0"/>
    </xf>
    <xf numFmtId="0" fontId="8" fillId="0" borderId="10"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11" xfId="0" applyFont="1" applyFill="1" applyBorder="1" applyAlignment="1">
      <alignment horizontal="right" vertical="center" wrapText="1"/>
    </xf>
    <xf numFmtId="0" fontId="8" fillId="0" borderId="10" xfId="0" applyFont="1" applyFill="1" applyBorder="1" applyAlignment="1" applyProtection="1">
      <alignment horizontal="right" vertical="center" wrapText="1"/>
    </xf>
    <xf numFmtId="0" fontId="8" fillId="0" borderId="4" xfId="0" applyFont="1" applyFill="1" applyBorder="1" applyAlignment="1" applyProtection="1">
      <alignment horizontal="right" vertical="center" wrapText="1"/>
    </xf>
    <xf numFmtId="0" fontId="8" fillId="0" borderId="11" xfId="0" applyFont="1" applyFill="1" applyBorder="1" applyAlignment="1" applyProtection="1">
      <alignment horizontal="right" vertical="center" wrapText="1"/>
    </xf>
    <xf numFmtId="0" fontId="14" fillId="0" borderId="10"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0" fillId="5" borderId="12" xfId="0" applyFont="1" applyFill="1" applyBorder="1" applyAlignment="1">
      <alignment horizontal="left" vertical="center" wrapText="1"/>
    </xf>
    <xf numFmtId="0" fontId="10" fillId="5" borderId="13" xfId="0" applyFont="1" applyFill="1" applyBorder="1" applyAlignment="1">
      <alignment horizontal="left" vertical="center" wrapText="1"/>
    </xf>
  </cellXfs>
  <cellStyles count="4">
    <cellStyle name="Hyperlink" xfId="2" builtinId="8"/>
    <cellStyle name="Normal" xfId="0" builtinId="0"/>
    <cellStyle name="Normal 2" xfId="1" xr:uid="{00000000-0005-0000-0000-000002000000}"/>
    <cellStyle name="Normal 2 2" xfId="3" xr:uid="{00000000-0005-0000-0000-000003000000}"/>
  </cellStyles>
  <dxfs count="11">
    <dxf>
      <font>
        <b/>
        <i val="0"/>
        <color theme="0"/>
      </font>
      <fill>
        <patternFill>
          <bgColor theme="0" tint="-0.34998626667073579"/>
        </patternFill>
      </fill>
    </dxf>
    <dxf>
      <font>
        <b/>
        <i val="0"/>
        <color theme="0"/>
      </font>
      <fill>
        <patternFill>
          <bgColor theme="0" tint="-0.34998626667073579"/>
        </patternFill>
      </fill>
    </dxf>
    <dxf>
      <font>
        <b/>
        <i val="0"/>
        <color theme="0"/>
      </font>
      <fill>
        <patternFill>
          <bgColor theme="0" tint="-0.34998626667073579"/>
        </patternFill>
      </fill>
    </dxf>
    <dxf>
      <font>
        <b/>
        <i val="0"/>
        <color theme="0"/>
      </font>
      <fill>
        <patternFill>
          <bgColor theme="0" tint="-0.34998626667073579"/>
        </patternFill>
      </fill>
    </dxf>
    <dxf>
      <font>
        <b/>
        <i val="0"/>
        <color theme="0"/>
      </font>
      <fill>
        <patternFill>
          <bgColor theme="0" tint="-0.34998626667073579"/>
        </patternFill>
      </fill>
    </dxf>
    <dxf>
      <font>
        <b/>
        <i val="0"/>
        <color theme="0"/>
      </font>
      <fill>
        <patternFill>
          <bgColor theme="0" tint="-0.34998626667073579"/>
        </patternFill>
      </fill>
    </dxf>
    <dxf>
      <fill>
        <patternFill>
          <bgColor rgb="FF92D050"/>
        </patternFill>
      </fill>
    </dxf>
    <dxf>
      <fill>
        <patternFill>
          <bgColor rgb="FFFF0000"/>
        </patternFill>
      </fill>
    </dxf>
    <dxf>
      <fill>
        <patternFill>
          <bgColor rgb="FFF32929"/>
        </patternFill>
      </fill>
    </dxf>
    <dxf>
      <fill>
        <patternFill>
          <bgColor rgb="FF92D050"/>
        </patternFill>
      </fill>
    </dxf>
    <dxf>
      <font>
        <b val="0"/>
        <i val="0"/>
      </font>
      <fill>
        <patternFill>
          <bgColor rgb="FFFF2F2F"/>
        </patternFill>
      </fill>
    </dxf>
  </dxfs>
  <tableStyles count="0" defaultTableStyle="TableStyleMedium2" defaultPivotStyle="PivotStyleLight16"/>
  <colors>
    <indexedColors>
      <rgbColor rgb="FF000000"/>
      <rgbColor rgb="FFFFFFFF"/>
      <rgbColor rgb="FFFF0000"/>
      <rgbColor rgb="FF00CC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FF"/>
      <rgbColor rgb="FFFFFFCC"/>
      <rgbColor rgb="FFEEEEEE"/>
      <rgbColor rgb="FF660066"/>
      <rgbColor rgb="FFFF8080"/>
      <rgbColor rgb="FF0066CC"/>
      <rgbColor rgb="FF99FF99"/>
      <rgbColor rgb="FF000080"/>
      <rgbColor rgb="FFFF00FF"/>
      <rgbColor rgb="FFFFFF00"/>
      <rgbColor rgb="FF00FFFF"/>
      <rgbColor rgb="FF800080"/>
      <rgbColor rgb="FF800000"/>
      <rgbColor rgb="FF008080"/>
      <rgbColor rgb="FF0000FF"/>
      <rgbColor rgb="FF00CCFF"/>
      <rgbColor rgb="FFE6E6FF"/>
      <rgbColor rgb="FFCCFFCC"/>
      <rgbColor rgb="FFFFFF99"/>
      <rgbColor rgb="FF66FFFF"/>
      <rgbColor rgb="FFF6BD84"/>
      <rgbColor rgb="FFCC99FF"/>
      <rgbColor rgb="FFFFCC99"/>
      <rgbColor rgb="FF3366FF"/>
      <rgbColor rgb="FF33CCCC"/>
      <rgbColor rgb="FF99CC00"/>
      <rgbColor rgb="FFFFCC00"/>
      <rgbColor rgb="FFFF9900"/>
      <rgbColor rgb="FFFF6600"/>
      <rgbColor rgb="FF666699"/>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CC"/>
      <color rgb="FFFFFF99"/>
      <color rgb="FFF32929"/>
      <color rgb="FFFF2F2F"/>
      <color rgb="FFF5A7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G$12" lockText="1" noThreeD="1"/>
</file>

<file path=xl/ctrlProps/ctrlProp10.xml><?xml version="1.0" encoding="utf-8"?>
<formControlPr xmlns="http://schemas.microsoft.com/office/spreadsheetml/2009/9/main" objectType="CheckBox" fmlaLink="$H$39" lockText="1" noThreeD="1"/>
</file>

<file path=xl/ctrlProps/ctrlProp100.xml><?xml version="1.0" encoding="utf-8"?>
<formControlPr xmlns="http://schemas.microsoft.com/office/spreadsheetml/2009/9/main" objectType="CheckBox" fmlaLink="$G$25" lockText="1" noThreeD="1"/>
</file>

<file path=xl/ctrlProps/ctrlProp101.xml><?xml version="1.0" encoding="utf-8"?>
<formControlPr xmlns="http://schemas.microsoft.com/office/spreadsheetml/2009/9/main" objectType="CheckBox" fmlaLink="$H$25" lockText="1" noThreeD="1"/>
</file>

<file path=xl/ctrlProps/ctrlProp102.xml><?xml version="1.0" encoding="utf-8"?>
<formControlPr xmlns="http://schemas.microsoft.com/office/spreadsheetml/2009/9/main" objectType="CheckBox" fmlaLink="$G$28" lockText="1" noThreeD="1"/>
</file>

<file path=xl/ctrlProps/ctrlProp103.xml><?xml version="1.0" encoding="utf-8"?>
<formControlPr xmlns="http://schemas.microsoft.com/office/spreadsheetml/2009/9/main" objectType="CheckBox" fmlaLink="$H$28" lockText="1" noThreeD="1"/>
</file>

<file path=xl/ctrlProps/ctrlProp104.xml><?xml version="1.0" encoding="utf-8"?>
<formControlPr xmlns="http://schemas.microsoft.com/office/spreadsheetml/2009/9/main" objectType="CheckBox" fmlaLink="$I$28" lockText="1" noThreeD="1"/>
</file>

<file path=xl/ctrlProps/ctrlProp105.xml><?xml version="1.0" encoding="utf-8"?>
<formControlPr xmlns="http://schemas.microsoft.com/office/spreadsheetml/2009/9/main" objectType="CheckBox" fmlaLink="$G$31" lockText="1" noThreeD="1"/>
</file>

<file path=xl/ctrlProps/ctrlProp106.xml><?xml version="1.0" encoding="utf-8"?>
<formControlPr xmlns="http://schemas.microsoft.com/office/spreadsheetml/2009/9/main" objectType="CheckBox" fmlaLink="$H$31" lockText="1" noThreeD="1"/>
</file>

<file path=xl/ctrlProps/ctrlProp107.xml><?xml version="1.0" encoding="utf-8"?>
<formControlPr xmlns="http://schemas.microsoft.com/office/spreadsheetml/2009/9/main" objectType="CheckBox" fmlaLink="$G$33" lockText="1" noThreeD="1"/>
</file>

<file path=xl/ctrlProps/ctrlProp108.xml><?xml version="1.0" encoding="utf-8"?>
<formControlPr xmlns="http://schemas.microsoft.com/office/spreadsheetml/2009/9/main" objectType="CheckBox" fmlaLink="$G$36" lockText="1" noThreeD="1"/>
</file>

<file path=xl/ctrlProps/ctrlProp109.xml><?xml version="1.0" encoding="utf-8"?>
<formControlPr xmlns="http://schemas.microsoft.com/office/spreadsheetml/2009/9/main" objectType="CheckBox" fmlaLink="$H$36" lockText="1" noThreeD="1"/>
</file>

<file path=xl/ctrlProps/ctrlProp11.xml><?xml version="1.0" encoding="utf-8"?>
<formControlPr xmlns="http://schemas.microsoft.com/office/spreadsheetml/2009/9/main" objectType="CheckBox" fmlaLink="$G$47" lockText="1" noThreeD="1"/>
</file>

<file path=xl/ctrlProps/ctrlProp110.xml><?xml version="1.0" encoding="utf-8"?>
<formControlPr xmlns="http://schemas.microsoft.com/office/spreadsheetml/2009/9/main" objectType="CheckBox" fmlaLink="$G$39" lockText="1" noThreeD="1"/>
</file>

<file path=xl/ctrlProps/ctrlProp111.xml><?xml version="1.0" encoding="utf-8"?>
<formControlPr xmlns="http://schemas.microsoft.com/office/spreadsheetml/2009/9/main" objectType="CheckBox" fmlaLink="$G$43" lockText="1" noThreeD="1"/>
</file>

<file path=xl/ctrlProps/ctrlProp112.xml><?xml version="1.0" encoding="utf-8"?>
<formControlPr xmlns="http://schemas.microsoft.com/office/spreadsheetml/2009/9/main" objectType="CheckBox" fmlaLink="$J$57" lockText="1" noThreeD="1"/>
</file>

<file path=xl/ctrlProps/ctrlProp113.xml><?xml version="1.0" encoding="utf-8"?>
<formControlPr xmlns="http://schemas.microsoft.com/office/spreadsheetml/2009/9/main" objectType="CheckBox" fmlaLink="$G$60" lockText="1" noThreeD="1"/>
</file>

<file path=xl/ctrlProps/ctrlProp114.xml><?xml version="1.0" encoding="utf-8"?>
<formControlPr xmlns="http://schemas.microsoft.com/office/spreadsheetml/2009/9/main" objectType="CheckBox" fmlaLink="$H$60" lockText="1" noThreeD="1"/>
</file>

<file path=xl/ctrlProps/ctrlProp115.xml><?xml version="1.0" encoding="utf-8"?>
<formControlPr xmlns="http://schemas.microsoft.com/office/spreadsheetml/2009/9/main" objectType="CheckBox" fmlaLink="$I$60" lockText="1" noThreeD="1"/>
</file>

<file path=xl/ctrlProps/ctrlProp116.xml><?xml version="1.0" encoding="utf-8"?>
<formControlPr xmlns="http://schemas.microsoft.com/office/spreadsheetml/2009/9/main" objectType="CheckBox" fmlaLink="$J$60" lockText="1" noThreeD="1"/>
</file>

<file path=xl/ctrlProps/ctrlProp117.xml><?xml version="1.0" encoding="utf-8"?>
<formControlPr xmlns="http://schemas.microsoft.com/office/spreadsheetml/2009/9/main" objectType="CheckBox" fmlaLink="$K$60" lockText="1" noThreeD="1"/>
</file>

<file path=xl/ctrlProps/ctrlProp118.xml><?xml version="1.0" encoding="utf-8"?>
<formControlPr xmlns="http://schemas.microsoft.com/office/spreadsheetml/2009/9/main" objectType="CheckBox" fmlaLink="$G$63" lockText="1" noThreeD="1"/>
</file>

<file path=xl/ctrlProps/ctrlProp119.xml><?xml version="1.0" encoding="utf-8"?>
<formControlPr xmlns="http://schemas.microsoft.com/office/spreadsheetml/2009/9/main" objectType="CheckBox" fmlaLink="$G$65" lockText="1" noThreeD="1"/>
</file>

<file path=xl/ctrlProps/ctrlProp12.xml><?xml version="1.0" encoding="utf-8"?>
<formControlPr xmlns="http://schemas.microsoft.com/office/spreadsheetml/2009/9/main" objectType="CheckBox" fmlaLink="$H$47" lockText="1" noThreeD="1"/>
</file>

<file path=xl/ctrlProps/ctrlProp120.xml><?xml version="1.0" encoding="utf-8"?>
<formControlPr xmlns="http://schemas.microsoft.com/office/spreadsheetml/2009/9/main" objectType="CheckBox" fmlaLink="$G$68" lockText="1" noThreeD="1"/>
</file>

<file path=xl/ctrlProps/ctrlProp121.xml><?xml version="1.0" encoding="utf-8"?>
<formControlPr xmlns="http://schemas.microsoft.com/office/spreadsheetml/2009/9/main" objectType="CheckBox" fmlaLink="$H$68" lockText="1" noThreeD="1"/>
</file>

<file path=xl/ctrlProps/ctrlProp122.xml><?xml version="1.0" encoding="utf-8"?>
<formControlPr xmlns="http://schemas.microsoft.com/office/spreadsheetml/2009/9/main" objectType="CheckBox" fmlaLink="$I$68" lockText="1" noThreeD="1"/>
</file>

<file path=xl/ctrlProps/ctrlProp123.xml><?xml version="1.0" encoding="utf-8"?>
<formControlPr xmlns="http://schemas.microsoft.com/office/spreadsheetml/2009/9/main" objectType="CheckBox" fmlaLink="$J$68" lockText="1" noThreeD="1"/>
</file>

<file path=xl/ctrlProps/ctrlProp124.xml><?xml version="1.0" encoding="utf-8"?>
<formControlPr xmlns="http://schemas.microsoft.com/office/spreadsheetml/2009/9/main" objectType="CheckBox" fmlaLink="$K$68" lockText="1" noThreeD="1"/>
</file>

<file path=xl/ctrlProps/ctrlProp125.xml><?xml version="1.0" encoding="utf-8"?>
<formControlPr xmlns="http://schemas.microsoft.com/office/spreadsheetml/2009/9/main" objectType="CheckBox" fmlaLink="$H$70" lockText="1" noThreeD="1"/>
</file>

<file path=xl/ctrlProps/ctrlProp126.xml><?xml version="1.0" encoding="utf-8"?>
<formControlPr xmlns="http://schemas.microsoft.com/office/spreadsheetml/2009/9/main" objectType="CheckBox" fmlaLink="$G$77" lockText="1" noThreeD="1"/>
</file>

<file path=xl/ctrlProps/ctrlProp127.xml><?xml version="1.0" encoding="utf-8"?>
<formControlPr xmlns="http://schemas.microsoft.com/office/spreadsheetml/2009/9/main" objectType="CheckBox" fmlaLink="$H$77" lockText="1" noThreeD="1"/>
</file>

<file path=xl/ctrlProps/ctrlProp128.xml><?xml version="1.0" encoding="utf-8"?>
<formControlPr xmlns="http://schemas.microsoft.com/office/spreadsheetml/2009/9/main" objectType="CheckBox" fmlaLink="$G$79" lockText="1" noThreeD="1"/>
</file>

<file path=xl/ctrlProps/ctrlProp129.xml><?xml version="1.0" encoding="utf-8"?>
<formControlPr xmlns="http://schemas.microsoft.com/office/spreadsheetml/2009/9/main" objectType="CheckBox" fmlaLink="$G$81" lockText="1" noThreeD="1"/>
</file>

<file path=xl/ctrlProps/ctrlProp13.xml><?xml version="1.0" encoding="utf-8"?>
<formControlPr xmlns="http://schemas.microsoft.com/office/spreadsheetml/2009/9/main" objectType="CheckBox" fmlaLink="$I$47" lockText="1" noThreeD="1"/>
</file>

<file path=xl/ctrlProps/ctrlProp130.xml><?xml version="1.0" encoding="utf-8"?>
<formControlPr xmlns="http://schemas.microsoft.com/office/spreadsheetml/2009/9/main" objectType="CheckBox" fmlaLink="$G$94" lockText="1" noThreeD="1"/>
</file>

<file path=xl/ctrlProps/ctrlProp131.xml><?xml version="1.0" encoding="utf-8"?>
<formControlPr xmlns="http://schemas.microsoft.com/office/spreadsheetml/2009/9/main" objectType="CheckBox" fmlaLink="$H$94" lockText="1" noThreeD="1"/>
</file>

<file path=xl/ctrlProps/ctrlProp132.xml><?xml version="1.0" encoding="utf-8"?>
<formControlPr xmlns="http://schemas.microsoft.com/office/spreadsheetml/2009/9/main" objectType="CheckBox" fmlaLink="$I$94" lockText="1" noThreeD="1"/>
</file>

<file path=xl/ctrlProps/ctrlProp133.xml><?xml version="1.0" encoding="utf-8"?>
<formControlPr xmlns="http://schemas.microsoft.com/office/spreadsheetml/2009/9/main" objectType="CheckBox" fmlaLink="$G$96" lockText="1" noThreeD="1"/>
</file>

<file path=xl/ctrlProps/ctrlProp134.xml><?xml version="1.0" encoding="utf-8"?>
<formControlPr xmlns="http://schemas.microsoft.com/office/spreadsheetml/2009/9/main" objectType="CheckBox" fmlaLink="$H$96" lockText="1" noThreeD="1"/>
</file>

<file path=xl/ctrlProps/ctrlProp135.xml><?xml version="1.0" encoding="utf-8"?>
<formControlPr xmlns="http://schemas.microsoft.com/office/spreadsheetml/2009/9/main" objectType="CheckBox" fmlaLink="$I$96" lockText="1" noThreeD="1"/>
</file>

<file path=xl/ctrlProps/ctrlProp136.xml><?xml version="1.0" encoding="utf-8"?>
<formControlPr xmlns="http://schemas.microsoft.com/office/spreadsheetml/2009/9/main" objectType="CheckBox" fmlaLink="$J$96" lockText="1" noThreeD="1"/>
</file>

<file path=xl/ctrlProps/ctrlProp137.xml><?xml version="1.0" encoding="utf-8"?>
<formControlPr xmlns="http://schemas.microsoft.com/office/spreadsheetml/2009/9/main" objectType="CheckBox" fmlaLink="$G$103" lockText="1" noThreeD="1"/>
</file>

<file path=xl/ctrlProps/ctrlProp138.xml><?xml version="1.0" encoding="utf-8"?>
<formControlPr xmlns="http://schemas.microsoft.com/office/spreadsheetml/2009/9/main" objectType="CheckBox" fmlaLink="$G$106" lockText="1" noThreeD="1"/>
</file>

<file path=xl/ctrlProps/ctrlProp139.xml><?xml version="1.0" encoding="utf-8"?>
<formControlPr xmlns="http://schemas.microsoft.com/office/spreadsheetml/2009/9/main" objectType="CheckBox" fmlaLink="$G$108"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G$99" lockText="1" noThreeD="1"/>
</file>

<file path=xl/ctrlProps/ctrlProp141.xml><?xml version="1.0" encoding="utf-8"?>
<formControlPr xmlns="http://schemas.microsoft.com/office/spreadsheetml/2009/9/main" objectType="CheckBox" fmlaLink="$H$106" lockText="1" noThreeD="1"/>
</file>

<file path=xl/ctrlProps/ctrlProp142.xml><?xml version="1.0" encoding="utf-8"?>
<formControlPr xmlns="http://schemas.microsoft.com/office/spreadsheetml/2009/9/main" objectType="CheckBox" fmlaLink="$I$106" lockText="1" noThreeD="1"/>
</file>

<file path=xl/ctrlProps/ctrlProp143.xml><?xml version="1.0" encoding="utf-8"?>
<formControlPr xmlns="http://schemas.microsoft.com/office/spreadsheetml/2009/9/main" objectType="CheckBox" fmlaLink="$J$106" lockText="1" noThreeD="1"/>
</file>

<file path=xl/ctrlProps/ctrlProp144.xml><?xml version="1.0" encoding="utf-8"?>
<formControlPr xmlns="http://schemas.microsoft.com/office/spreadsheetml/2009/9/main" objectType="CheckBox" fmlaLink="$K$106" lockText="1" noThreeD="1"/>
</file>

<file path=xl/ctrlProps/ctrlProp145.xml><?xml version="1.0" encoding="utf-8"?>
<formControlPr xmlns="http://schemas.microsoft.com/office/spreadsheetml/2009/9/main" objectType="CheckBox" fmlaLink="$G$6" lockText="1" noThreeD="1"/>
</file>

<file path=xl/ctrlProps/ctrlProp146.xml><?xml version="1.0" encoding="utf-8"?>
<formControlPr xmlns="http://schemas.microsoft.com/office/spreadsheetml/2009/9/main" objectType="CheckBox" fmlaLink="$G$7" lockText="1" noThreeD="1"/>
</file>

<file path=xl/ctrlProps/ctrlProp147.xml><?xml version="1.0" encoding="utf-8"?>
<formControlPr xmlns="http://schemas.microsoft.com/office/spreadsheetml/2009/9/main" objectType="CheckBox" fmlaLink="$G$8" lockText="1" noThreeD="1"/>
</file>

<file path=xl/ctrlProps/ctrlProp148.xml><?xml version="1.0" encoding="utf-8"?>
<formControlPr xmlns="http://schemas.microsoft.com/office/spreadsheetml/2009/9/main" objectType="CheckBox" fmlaLink="$G$9" lockText="1" noThreeD="1"/>
</file>

<file path=xl/ctrlProps/ctrlProp149.xml><?xml version="1.0" encoding="utf-8"?>
<formControlPr xmlns="http://schemas.microsoft.com/office/spreadsheetml/2009/9/main" objectType="CheckBox" fmlaLink="$G$10" lockText="1" noThreeD="1"/>
</file>

<file path=xl/ctrlProps/ctrlProp15.xml><?xml version="1.0" encoding="utf-8"?>
<formControlPr xmlns="http://schemas.microsoft.com/office/spreadsheetml/2009/9/main" objectType="CheckBox" fmlaLink="$G$55" lockText="1" noThreeD="1"/>
</file>

<file path=xl/ctrlProps/ctrlProp150.xml><?xml version="1.0" encoding="utf-8"?>
<formControlPr xmlns="http://schemas.microsoft.com/office/spreadsheetml/2009/9/main" objectType="CheckBox" fmlaLink="$H$18" lockText="1" noThreeD="1"/>
</file>

<file path=xl/ctrlProps/ctrlProp151.xml><?xml version="1.0" encoding="utf-8"?>
<formControlPr xmlns="http://schemas.microsoft.com/office/spreadsheetml/2009/9/main" objectType="CheckBox" fmlaLink="$G$18" lockText="1" noThreeD="1"/>
</file>

<file path=xl/ctrlProps/ctrlProp152.xml><?xml version="1.0" encoding="utf-8"?>
<formControlPr xmlns="http://schemas.microsoft.com/office/spreadsheetml/2009/9/main" objectType="CheckBox" fmlaLink="$G$83" lockText="1" noThreeD="1"/>
</file>

<file path=xl/ctrlProps/ctrlProp153.xml><?xml version="1.0" encoding="utf-8"?>
<formControlPr xmlns="http://schemas.microsoft.com/office/spreadsheetml/2009/9/main" objectType="CheckBox" fmlaLink="$J$94" lockText="1" noThreeD="1"/>
</file>

<file path=xl/ctrlProps/ctrlProp154.xml><?xml version="1.0" encoding="utf-8"?>
<formControlPr xmlns="http://schemas.microsoft.com/office/spreadsheetml/2009/9/main" objectType="CheckBox" fmlaLink="$K$94" lockText="1" noThreeD="1"/>
</file>

<file path=xl/ctrlProps/ctrlProp155.xml><?xml version="1.0" encoding="utf-8"?>
<formControlPr xmlns="http://schemas.microsoft.com/office/spreadsheetml/2009/9/main" objectType="CheckBox" fmlaLink="$J$55" lockText="1" noThreeD="1"/>
</file>

<file path=xl/ctrlProps/ctrlProp156.xml><?xml version="1.0" encoding="utf-8"?>
<formControlPr xmlns="http://schemas.microsoft.com/office/spreadsheetml/2009/9/main" objectType="CheckBox" fmlaLink="$G$89" lockText="1" noThreeD="1"/>
</file>

<file path=xl/ctrlProps/ctrlProp157.xml><?xml version="1.0" encoding="utf-8"?>
<formControlPr xmlns="http://schemas.microsoft.com/office/spreadsheetml/2009/9/main" objectType="CheckBox" fmlaLink="$H$89" lockText="1" noThreeD="1"/>
</file>

<file path=xl/ctrlProps/ctrlProp158.xml><?xml version="1.0" encoding="utf-8"?>
<formControlPr xmlns="http://schemas.microsoft.com/office/spreadsheetml/2009/9/main" objectType="CheckBox" fmlaLink="$G$70" lockText="1" noThreeD="1"/>
</file>

<file path=xl/ctrlProps/ctrlProp159.xml><?xml version="1.0" encoding="utf-8"?>
<formControlPr xmlns="http://schemas.microsoft.com/office/spreadsheetml/2009/9/main" objectType="CheckBox" fmlaLink="$G$98" lockText="1" noThreeD="1"/>
</file>

<file path=xl/ctrlProps/ctrlProp16.xml><?xml version="1.0" encoding="utf-8"?>
<formControlPr xmlns="http://schemas.microsoft.com/office/spreadsheetml/2009/9/main" objectType="CheckBox" fmlaLink="$H$55" lockText="1" noThreeD="1"/>
</file>

<file path=xl/ctrlProps/ctrlProp160.xml><?xml version="1.0" encoding="utf-8"?>
<formControlPr xmlns="http://schemas.microsoft.com/office/spreadsheetml/2009/9/main" objectType="CheckBox" fmlaLink="$G$91" lockText="1" noThreeD="1"/>
</file>

<file path=xl/ctrlProps/ctrlProp161.xml><?xml version="1.0" encoding="utf-8"?>
<formControlPr xmlns="http://schemas.microsoft.com/office/spreadsheetml/2009/9/main" objectType="CheckBox" fmlaLink="$G$42" lockText="1" noThreeD="1"/>
</file>

<file path=xl/ctrlProps/ctrlProp162.xml><?xml version="1.0" encoding="utf-8"?>
<formControlPr xmlns="http://schemas.microsoft.com/office/spreadsheetml/2009/9/main" objectType="CheckBox" fmlaLink="$G$43" lockText="1" noThreeD="1"/>
</file>

<file path=xl/ctrlProps/ctrlProp163.xml><?xml version="1.0" encoding="utf-8"?>
<formControlPr xmlns="http://schemas.microsoft.com/office/spreadsheetml/2009/9/main" objectType="CheckBox" fmlaLink="$G$12" lockText="1" noThreeD="1"/>
</file>

<file path=xl/ctrlProps/ctrlProp164.xml><?xml version="1.0" encoding="utf-8"?>
<formControlPr xmlns="http://schemas.microsoft.com/office/spreadsheetml/2009/9/main" objectType="CheckBox" fmlaLink="$G$19" lockText="1" noThreeD="1"/>
</file>

<file path=xl/ctrlProps/ctrlProp165.xml><?xml version="1.0" encoding="utf-8"?>
<formControlPr xmlns="http://schemas.microsoft.com/office/spreadsheetml/2009/9/main" objectType="CheckBox" fmlaLink="$G$20" lockText="1" noThreeD="1"/>
</file>

<file path=xl/ctrlProps/ctrlProp166.xml><?xml version="1.0" encoding="utf-8"?>
<formControlPr xmlns="http://schemas.microsoft.com/office/spreadsheetml/2009/9/main" objectType="CheckBox" fmlaLink="$G$21" lockText="1" noThreeD="1"/>
</file>

<file path=xl/ctrlProps/ctrlProp167.xml><?xml version="1.0" encoding="utf-8"?>
<formControlPr xmlns="http://schemas.microsoft.com/office/spreadsheetml/2009/9/main" objectType="CheckBox" fmlaLink="$G$22" lockText="1" noThreeD="1"/>
</file>

<file path=xl/ctrlProps/ctrlProp168.xml><?xml version="1.0" encoding="utf-8"?>
<formControlPr xmlns="http://schemas.microsoft.com/office/spreadsheetml/2009/9/main" objectType="CheckBox" fmlaLink="$G$29" lockText="1" noThreeD="1"/>
</file>

<file path=xl/ctrlProps/ctrlProp169.xml><?xml version="1.0" encoding="utf-8"?>
<formControlPr xmlns="http://schemas.microsoft.com/office/spreadsheetml/2009/9/main" objectType="CheckBox" fmlaLink="$G$30" lockText="1" noThreeD="1"/>
</file>

<file path=xl/ctrlProps/ctrlProp17.xml><?xml version="1.0" encoding="utf-8"?>
<formControlPr xmlns="http://schemas.microsoft.com/office/spreadsheetml/2009/9/main" objectType="CheckBox" fmlaLink="$G$57" lockText="1" noThreeD="1"/>
</file>

<file path=xl/ctrlProps/ctrlProp18.xml><?xml version="1.0" encoding="utf-8"?>
<formControlPr xmlns="http://schemas.microsoft.com/office/spreadsheetml/2009/9/main" objectType="CheckBox" fmlaLink="$H$57" lockText="1" noThreeD="1"/>
</file>

<file path=xl/ctrlProps/ctrlProp19.xml><?xml version="1.0" encoding="utf-8"?>
<formControlPr xmlns="http://schemas.microsoft.com/office/spreadsheetml/2009/9/main" objectType="CheckBox" fmlaLink="$I$57" lockText="1" noThreeD="1"/>
</file>

<file path=xl/ctrlProps/ctrlProp2.xml><?xml version="1.0" encoding="utf-8"?>
<formControlPr xmlns="http://schemas.microsoft.com/office/spreadsheetml/2009/9/main" objectType="CheckBox" fmlaLink="$G$4" lockText="1" noThreeD="1"/>
</file>

<file path=xl/ctrlProps/ctrlProp20.xml><?xml version="1.0" encoding="utf-8"?>
<formControlPr xmlns="http://schemas.microsoft.com/office/spreadsheetml/2009/9/main" objectType="CheckBox" fmlaLink="$J$57" lockText="1" noThreeD="1"/>
</file>

<file path=xl/ctrlProps/ctrlProp21.xml><?xml version="1.0" encoding="utf-8"?>
<formControlPr xmlns="http://schemas.microsoft.com/office/spreadsheetml/2009/9/main" objectType="CheckBox" fmlaLink="$G$59" lockText="1" noThreeD="1"/>
</file>

<file path=xl/ctrlProps/ctrlProp22.xml><?xml version="1.0" encoding="utf-8"?>
<formControlPr xmlns="http://schemas.microsoft.com/office/spreadsheetml/2009/9/main" objectType="CheckBox" fmlaLink="$G$70" lockText="1" noThreeD="1"/>
</file>

<file path=xl/ctrlProps/ctrlProp23.xml><?xml version="1.0" encoding="utf-8"?>
<formControlPr xmlns="http://schemas.microsoft.com/office/spreadsheetml/2009/9/main" objectType="CheckBox" fmlaLink="$G$86" lockText="1" noThreeD="1"/>
</file>

<file path=xl/ctrlProps/ctrlProp24.xml><?xml version="1.0" encoding="utf-8"?>
<formControlPr xmlns="http://schemas.microsoft.com/office/spreadsheetml/2009/9/main" objectType="CheckBox" fmlaLink="$G$43" lockText="1" noThreeD="1"/>
</file>

<file path=xl/ctrlProps/ctrlProp25.xml><?xml version="1.0" encoding="utf-8"?>
<formControlPr xmlns="http://schemas.microsoft.com/office/spreadsheetml/2009/9/main" objectType="CheckBox" fmlaLink="$H$43" lockText="1" noThreeD="1"/>
</file>

<file path=xl/ctrlProps/ctrlProp26.xml><?xml version="1.0" encoding="utf-8"?>
<formControlPr xmlns="http://schemas.microsoft.com/office/spreadsheetml/2009/9/main" objectType="CheckBox" fmlaLink="$G$18" lockText="1" noThreeD="1"/>
</file>

<file path=xl/ctrlProps/ctrlProp27.xml><?xml version="1.0" encoding="utf-8"?>
<formControlPr xmlns="http://schemas.microsoft.com/office/spreadsheetml/2009/9/main" objectType="CheckBox" fmlaLink="$G$20" lockText="1" noThreeD="1"/>
</file>

<file path=xl/ctrlProps/ctrlProp28.xml><?xml version="1.0" encoding="utf-8"?>
<formControlPr xmlns="http://schemas.microsoft.com/office/spreadsheetml/2009/9/main" objectType="CheckBox" fmlaLink="$G$22" lockText="1" noThreeD="1"/>
</file>

<file path=xl/ctrlProps/ctrlProp29.xml><?xml version="1.0" encoding="utf-8"?>
<formControlPr xmlns="http://schemas.microsoft.com/office/spreadsheetml/2009/9/main" objectType="CheckBox" fmlaLink="$H$22" lockText="1" noThreeD="1"/>
</file>

<file path=xl/ctrlProps/ctrlProp3.xml><?xml version="1.0" encoding="utf-8"?>
<formControlPr xmlns="http://schemas.microsoft.com/office/spreadsheetml/2009/9/main" objectType="CheckBox" fmlaLink="$G$5" lockText="1" noThreeD="1"/>
</file>

<file path=xl/ctrlProps/ctrlProp30.xml><?xml version="1.0" encoding="utf-8"?>
<formControlPr xmlns="http://schemas.microsoft.com/office/spreadsheetml/2009/9/main" objectType="CheckBox" fmlaLink="$I$22" lockText="1" noThreeD="1"/>
</file>

<file path=xl/ctrlProps/ctrlProp31.xml><?xml version="1.0" encoding="utf-8"?>
<formControlPr xmlns="http://schemas.microsoft.com/office/spreadsheetml/2009/9/main" objectType="CheckBox" fmlaLink="$G$66" lockText="1" noThreeD="1"/>
</file>

<file path=xl/ctrlProps/ctrlProp32.xml><?xml version="1.0" encoding="utf-8"?>
<formControlPr xmlns="http://schemas.microsoft.com/office/spreadsheetml/2009/9/main" objectType="CheckBox" fmlaLink="$G$72" lockText="1" noThreeD="1"/>
</file>

<file path=xl/ctrlProps/ctrlProp33.xml><?xml version="1.0" encoding="utf-8"?>
<formControlPr xmlns="http://schemas.microsoft.com/office/spreadsheetml/2009/9/main" objectType="CheckBox" fmlaLink="$G$73" lockText="1" noThreeD="1"/>
</file>

<file path=xl/ctrlProps/ctrlProp34.xml><?xml version="1.0" encoding="utf-8"?>
<formControlPr xmlns="http://schemas.microsoft.com/office/spreadsheetml/2009/9/main" objectType="CheckBox" fmlaLink="$J$47" lockText="1" noThreeD="1"/>
</file>

<file path=xl/ctrlProps/ctrlProp35.xml><?xml version="1.0" encoding="utf-8"?>
<formControlPr xmlns="http://schemas.microsoft.com/office/spreadsheetml/2009/9/main" objectType="CheckBox" fmlaLink="$I$32" lockText="1" noThreeD="1"/>
</file>

<file path=xl/ctrlProps/ctrlProp36.xml><?xml version="1.0" encoding="utf-8"?>
<formControlPr xmlns="http://schemas.microsoft.com/office/spreadsheetml/2009/9/main" objectType="CheckBox" fmlaLink="$K$32" lockText="1" noThreeD="1"/>
</file>

<file path=xl/ctrlProps/ctrlProp37.xml><?xml version="1.0" encoding="utf-8"?>
<formControlPr xmlns="http://schemas.microsoft.com/office/spreadsheetml/2009/9/main" objectType="CheckBox" fmlaLink="$G$41" lockText="1" noThreeD="1"/>
</file>

<file path=xl/ctrlProps/ctrlProp38.xml><?xml version="1.0" encoding="utf-8"?>
<formControlPr xmlns="http://schemas.microsoft.com/office/spreadsheetml/2009/9/main" objectType="CheckBox" fmlaLink="$H$20" lockText="1" noThreeD="1"/>
</file>

<file path=xl/ctrlProps/ctrlProp39.xml><?xml version="1.0" encoding="utf-8"?>
<formControlPr xmlns="http://schemas.microsoft.com/office/spreadsheetml/2009/9/main" objectType="CheckBox" fmlaLink="$G$26" lockText="1" noThreeD="1"/>
</file>

<file path=xl/ctrlProps/ctrlProp4.xml><?xml version="1.0" encoding="utf-8"?>
<formControlPr xmlns="http://schemas.microsoft.com/office/spreadsheetml/2009/9/main" objectType="CheckBox" fmlaLink="$G$3" lockText="1" noThreeD="1"/>
</file>

<file path=xl/ctrlProps/ctrlProp40.xml><?xml version="1.0" encoding="utf-8"?>
<formControlPr xmlns="http://schemas.microsoft.com/office/spreadsheetml/2009/9/main" objectType="CheckBox" fmlaLink="$G$27" lockText="1" noThreeD="1"/>
</file>

<file path=xl/ctrlProps/ctrlProp41.xml><?xml version="1.0" encoding="utf-8"?>
<formControlPr xmlns="http://schemas.microsoft.com/office/spreadsheetml/2009/9/main" objectType="CheckBox" fmlaLink="$G$63" lockText="1" noThreeD="1"/>
</file>

<file path=xl/ctrlProps/ctrlProp42.xml><?xml version="1.0" encoding="utf-8"?>
<formControlPr xmlns="http://schemas.microsoft.com/office/spreadsheetml/2009/9/main" objectType="CheckBox" fmlaLink="$G$4" noThreeD="1"/>
</file>

<file path=xl/ctrlProps/ctrlProp43.xml><?xml version="1.0" encoding="utf-8"?>
<formControlPr xmlns="http://schemas.microsoft.com/office/spreadsheetml/2009/9/main" objectType="CheckBox" fmlaLink="$G$5" noThreeD="1"/>
</file>

<file path=xl/ctrlProps/ctrlProp44.xml><?xml version="1.0" encoding="utf-8"?>
<formControlPr xmlns="http://schemas.microsoft.com/office/spreadsheetml/2009/9/main" objectType="CheckBox" fmlaLink="$G$3" noThreeD="1"/>
</file>

<file path=xl/ctrlProps/ctrlProp45.xml><?xml version="1.0" encoding="utf-8"?>
<formControlPr xmlns="http://schemas.microsoft.com/office/spreadsheetml/2009/9/main" objectType="CheckBox" fmlaLink="$G$65" lockText="1" noThreeD="1"/>
</file>

<file path=xl/ctrlProps/ctrlProp46.xml><?xml version="1.0" encoding="utf-8"?>
<formControlPr xmlns="http://schemas.microsoft.com/office/spreadsheetml/2009/9/main" objectType="CheckBox" fmlaLink="$H$65" lockText="1" noThreeD="1"/>
</file>

<file path=xl/ctrlProps/ctrlProp47.xml><?xml version="1.0" encoding="utf-8"?>
<formControlPr xmlns="http://schemas.microsoft.com/office/spreadsheetml/2009/9/main" objectType="CheckBox" fmlaLink="$I$65" lockText="1" noThreeD="1"/>
</file>

<file path=xl/ctrlProps/ctrlProp48.xml><?xml version="1.0" encoding="utf-8"?>
<formControlPr xmlns="http://schemas.microsoft.com/office/spreadsheetml/2009/9/main" objectType="CheckBox" fmlaLink="$G$30" lockText="1" noThreeD="1"/>
</file>

<file path=xl/ctrlProps/ctrlProp49.xml><?xml version="1.0" encoding="utf-8"?>
<formControlPr xmlns="http://schemas.microsoft.com/office/spreadsheetml/2009/9/main" objectType="CheckBox" fmlaLink="$G$38" lockText="1" noThreeD="1"/>
</file>

<file path=xl/ctrlProps/ctrlProp5.xml><?xml version="1.0" encoding="utf-8"?>
<formControlPr xmlns="http://schemas.microsoft.com/office/spreadsheetml/2009/9/main" objectType="CheckBox" fmlaLink="$G$16" lockText="1" noThreeD="1"/>
</file>

<file path=xl/ctrlProps/ctrlProp50.xml><?xml version="1.0" encoding="utf-8"?>
<formControlPr xmlns="http://schemas.microsoft.com/office/spreadsheetml/2009/9/main" objectType="CheckBox" fmlaLink="$H$38" lockText="1" noThreeD="1"/>
</file>

<file path=xl/ctrlProps/ctrlProp51.xml><?xml version="1.0" encoding="utf-8"?>
<formControlPr xmlns="http://schemas.microsoft.com/office/spreadsheetml/2009/9/main" objectType="CheckBox" fmlaLink="$G$42" lockText="1" noThreeD="1"/>
</file>

<file path=xl/ctrlProps/ctrlProp52.xml><?xml version="1.0" encoding="utf-8"?>
<formControlPr xmlns="http://schemas.microsoft.com/office/spreadsheetml/2009/9/main" objectType="CheckBox" fmlaLink="$H$42" lockText="1" noThreeD="1"/>
</file>

<file path=xl/ctrlProps/ctrlProp53.xml><?xml version="1.0" encoding="utf-8"?>
<formControlPr xmlns="http://schemas.microsoft.com/office/spreadsheetml/2009/9/main" objectType="CheckBox" fmlaLink="$G$49" lockText="1" noThreeD="1"/>
</file>

<file path=xl/ctrlProps/ctrlProp54.xml><?xml version="1.0" encoding="utf-8"?>
<formControlPr xmlns="http://schemas.microsoft.com/office/spreadsheetml/2009/9/main" objectType="CheckBox" fmlaLink="$G$53" lockText="1" noThreeD="1"/>
</file>

<file path=xl/ctrlProps/ctrlProp55.xml><?xml version="1.0" encoding="utf-8"?>
<formControlPr xmlns="http://schemas.microsoft.com/office/spreadsheetml/2009/9/main" objectType="CheckBox" fmlaLink="$H$49" lockText="1" noThreeD="1"/>
</file>

<file path=xl/ctrlProps/ctrlProp56.xml><?xml version="1.0" encoding="utf-8"?>
<formControlPr xmlns="http://schemas.microsoft.com/office/spreadsheetml/2009/9/main" objectType="CheckBox" fmlaLink="$G$10" lockText="1" noThreeD="1"/>
</file>

<file path=xl/ctrlProps/ctrlProp57.xml><?xml version="1.0" encoding="utf-8"?>
<formControlPr xmlns="http://schemas.microsoft.com/office/spreadsheetml/2009/9/main" objectType="CheckBox" fmlaLink="$G$25" lockText="1" noThreeD="1"/>
</file>

<file path=xl/ctrlProps/ctrlProp58.xml><?xml version="1.0" encoding="utf-8"?>
<formControlPr xmlns="http://schemas.microsoft.com/office/spreadsheetml/2009/9/main" objectType="CheckBox" fmlaLink="$G$13" lockText="1" noThreeD="1"/>
</file>

<file path=xl/ctrlProps/ctrlProp59.xml><?xml version="1.0" encoding="utf-8"?>
<formControlPr xmlns="http://schemas.microsoft.com/office/spreadsheetml/2009/9/main" objectType="CheckBox" fmlaLink="$G$3" lockText="1" noThreeD="1"/>
</file>

<file path=xl/ctrlProps/ctrlProp6.xml><?xml version="1.0" encoding="utf-8"?>
<formControlPr xmlns="http://schemas.microsoft.com/office/spreadsheetml/2009/9/main" objectType="CheckBox" fmlaLink="$G$32" lockText="1" noThreeD="1"/>
</file>

<file path=xl/ctrlProps/ctrlProp60.xml><?xml version="1.0" encoding="utf-8"?>
<formControlPr xmlns="http://schemas.microsoft.com/office/spreadsheetml/2009/9/main" objectType="CheckBox" fmlaLink="$H$13" lockText="1" noThreeD="1"/>
</file>

<file path=xl/ctrlProps/ctrlProp61.xml><?xml version="1.0" encoding="utf-8"?>
<formControlPr xmlns="http://schemas.microsoft.com/office/spreadsheetml/2009/9/main" objectType="CheckBox" fmlaLink="$G$15" lockText="1" noThreeD="1"/>
</file>

<file path=xl/ctrlProps/ctrlProp62.xml><?xml version="1.0" encoding="utf-8"?>
<formControlPr xmlns="http://schemas.microsoft.com/office/spreadsheetml/2009/9/main" objectType="CheckBox" fmlaLink="$G$18" lockText="1" noThreeD="1"/>
</file>

<file path=xl/ctrlProps/ctrlProp63.xml><?xml version="1.0" encoding="utf-8"?>
<formControlPr xmlns="http://schemas.microsoft.com/office/spreadsheetml/2009/9/main" objectType="CheckBox" fmlaLink="$H$18" lockText="1" noThreeD="1"/>
</file>

<file path=xl/ctrlProps/ctrlProp64.xml><?xml version="1.0" encoding="utf-8"?>
<formControlPr xmlns="http://schemas.microsoft.com/office/spreadsheetml/2009/9/main" objectType="CheckBox" fmlaLink="$G$20" lockText="1" noThreeD="1"/>
</file>

<file path=xl/ctrlProps/ctrlProp65.xml><?xml version="1.0" encoding="utf-8"?>
<formControlPr xmlns="http://schemas.microsoft.com/office/spreadsheetml/2009/9/main" objectType="CheckBox" fmlaLink="$H$20" lockText="1" noThreeD="1"/>
</file>

<file path=xl/ctrlProps/ctrlProp66.xml><?xml version="1.0" encoding="utf-8"?>
<formControlPr xmlns="http://schemas.microsoft.com/office/spreadsheetml/2009/9/main" objectType="CheckBox" fmlaLink="$G$22" lockText="1" noThreeD="1"/>
</file>

<file path=xl/ctrlProps/ctrlProp67.xml><?xml version="1.0" encoding="utf-8"?>
<formControlPr xmlns="http://schemas.microsoft.com/office/spreadsheetml/2009/9/main" objectType="CheckBox" fmlaLink="$H$22" lockText="1" noThreeD="1"/>
</file>

<file path=xl/ctrlProps/ctrlProp68.xml><?xml version="1.0" encoding="utf-8"?>
<formControlPr xmlns="http://schemas.microsoft.com/office/spreadsheetml/2009/9/main" objectType="CheckBox" fmlaLink="$I$22" lockText="1" noThreeD="1"/>
</file>

<file path=xl/ctrlProps/ctrlProp69.xml><?xml version="1.0" encoding="utf-8"?>
<formControlPr xmlns="http://schemas.microsoft.com/office/spreadsheetml/2009/9/main" objectType="CheckBox" fmlaLink="$J$22" lockText="1" noThreeD="1"/>
</file>

<file path=xl/ctrlProps/ctrlProp7.xml><?xml version="1.0" encoding="utf-8"?>
<formControlPr xmlns="http://schemas.microsoft.com/office/spreadsheetml/2009/9/main" objectType="CheckBox" fmlaLink="$H$32" lockText="1" noThreeD="1"/>
</file>

<file path=xl/ctrlProps/ctrlProp70.xml><?xml version="1.0" encoding="utf-8"?>
<formControlPr xmlns="http://schemas.microsoft.com/office/spreadsheetml/2009/9/main" objectType="CheckBox" fmlaLink="$G$30" lockText="1" noThreeD="1"/>
</file>

<file path=xl/ctrlProps/ctrlProp71.xml><?xml version="1.0" encoding="utf-8"?>
<formControlPr xmlns="http://schemas.microsoft.com/office/spreadsheetml/2009/9/main" objectType="CheckBox" fmlaLink="$H$30" lockText="1" noThreeD="1"/>
</file>

<file path=xl/ctrlProps/ctrlProp72.xml><?xml version="1.0" encoding="utf-8"?>
<formControlPr xmlns="http://schemas.microsoft.com/office/spreadsheetml/2009/9/main" objectType="CheckBox" fmlaLink="$G$72" lockText="1" noThreeD="1"/>
</file>

<file path=xl/ctrlProps/ctrlProp73.xml><?xml version="1.0" encoding="utf-8"?>
<formControlPr xmlns="http://schemas.microsoft.com/office/spreadsheetml/2009/9/main" objectType="CheckBox" fmlaLink="$G$74" lockText="1" noThreeD="1"/>
</file>

<file path=xl/ctrlProps/ctrlProp74.xml><?xml version="1.0" encoding="utf-8"?>
<formControlPr xmlns="http://schemas.microsoft.com/office/spreadsheetml/2009/9/main" objectType="CheckBox" fmlaLink="$H$74" lockText="1" noThreeD="1"/>
</file>

<file path=xl/ctrlProps/ctrlProp75.xml><?xml version="1.0" encoding="utf-8"?>
<formControlPr xmlns="http://schemas.microsoft.com/office/spreadsheetml/2009/9/main" objectType="CheckBox" fmlaLink="$I$74" lockText="1" noThreeD="1"/>
</file>

<file path=xl/ctrlProps/ctrlProp76.xml><?xml version="1.0" encoding="utf-8"?>
<formControlPr xmlns="http://schemas.microsoft.com/office/spreadsheetml/2009/9/main" objectType="CheckBox" fmlaLink="$G$49" lockText="1" noThreeD="1"/>
</file>

<file path=xl/ctrlProps/ctrlProp77.xml><?xml version="1.0" encoding="utf-8"?>
<formControlPr xmlns="http://schemas.microsoft.com/office/spreadsheetml/2009/9/main" objectType="CheckBox" fmlaLink="$G$45" lockText="1" noThreeD="1"/>
</file>

<file path=xl/ctrlProps/ctrlProp78.xml><?xml version="1.0" encoding="utf-8"?>
<formControlPr xmlns="http://schemas.microsoft.com/office/spreadsheetml/2009/9/main" objectType="CheckBox" fmlaLink="$H$34" lockText="1" noThreeD="1"/>
</file>

<file path=xl/ctrlProps/ctrlProp79.xml><?xml version="1.0" encoding="utf-8"?>
<formControlPr xmlns="http://schemas.microsoft.com/office/spreadsheetml/2009/9/main" objectType="CheckBox" fmlaLink="$H$15" lockText="1" noThreeD="1"/>
</file>

<file path=xl/ctrlProps/ctrlProp8.xml><?xml version="1.0" encoding="utf-8"?>
<formControlPr xmlns="http://schemas.microsoft.com/office/spreadsheetml/2009/9/main" objectType="CheckBox" fmlaLink="$J$32" lockText="1" noThreeD="1"/>
</file>

<file path=xl/ctrlProps/ctrlProp80.xml><?xml version="1.0" encoding="utf-8"?>
<formControlPr xmlns="http://schemas.microsoft.com/office/spreadsheetml/2009/9/main" objectType="CheckBox" fmlaLink="$G$56" lockText="1" noThreeD="1"/>
</file>

<file path=xl/ctrlProps/ctrlProp81.xml><?xml version="1.0" encoding="utf-8"?>
<formControlPr xmlns="http://schemas.microsoft.com/office/spreadsheetml/2009/9/main" objectType="CheckBox" fmlaLink="$H$56" lockText="1" noThreeD="1"/>
</file>

<file path=xl/ctrlProps/ctrlProp82.xml><?xml version="1.0" encoding="utf-8"?>
<formControlPr xmlns="http://schemas.microsoft.com/office/spreadsheetml/2009/9/main" objectType="CheckBox" fmlaLink="$G$57" lockText="1" noThreeD="1"/>
</file>

<file path=xl/ctrlProps/ctrlProp83.xml><?xml version="1.0" encoding="utf-8"?>
<formControlPr xmlns="http://schemas.microsoft.com/office/spreadsheetml/2009/9/main" objectType="CheckBox" fmlaLink="$H$57" lockText="1" noThreeD="1"/>
</file>

<file path=xl/ctrlProps/ctrlProp84.xml><?xml version="1.0" encoding="utf-8"?>
<formControlPr xmlns="http://schemas.microsoft.com/office/spreadsheetml/2009/9/main" objectType="CheckBox" fmlaLink="$G$58" lockText="1" noThreeD="1"/>
</file>

<file path=xl/ctrlProps/ctrlProp85.xml><?xml version="1.0" encoding="utf-8"?>
<formControlPr xmlns="http://schemas.microsoft.com/office/spreadsheetml/2009/9/main" objectType="CheckBox" fmlaLink="$H$58" lockText="1" noThreeD="1"/>
</file>

<file path=xl/ctrlProps/ctrlProp86.xml><?xml version="1.0" encoding="utf-8"?>
<formControlPr xmlns="http://schemas.microsoft.com/office/spreadsheetml/2009/9/main" objectType="CheckBox" fmlaLink="$G$59" lockText="1" noThreeD="1"/>
</file>

<file path=xl/ctrlProps/ctrlProp87.xml><?xml version="1.0" encoding="utf-8"?>
<formControlPr xmlns="http://schemas.microsoft.com/office/spreadsheetml/2009/9/main" objectType="CheckBox" fmlaLink="$H$59" lockText="1" noThreeD="1"/>
</file>

<file path=xl/ctrlProps/ctrlProp88.xml><?xml version="1.0" encoding="utf-8"?>
<formControlPr xmlns="http://schemas.microsoft.com/office/spreadsheetml/2009/9/main" objectType="CheckBox" fmlaLink="$G$60" lockText="1" noThreeD="1"/>
</file>

<file path=xl/ctrlProps/ctrlProp89.xml><?xml version="1.0" encoding="utf-8"?>
<formControlPr xmlns="http://schemas.microsoft.com/office/spreadsheetml/2009/9/main" objectType="CheckBox" fmlaLink="$H$60" lockText="1" noThreeD="1"/>
</file>

<file path=xl/ctrlProps/ctrlProp9.xml><?xml version="1.0" encoding="utf-8"?>
<formControlPr xmlns="http://schemas.microsoft.com/office/spreadsheetml/2009/9/main" objectType="CheckBox" fmlaLink="$G$39" lockText="1" noThreeD="1"/>
</file>

<file path=xl/ctrlProps/ctrlProp90.xml><?xml version="1.0" encoding="utf-8"?>
<formControlPr xmlns="http://schemas.microsoft.com/office/spreadsheetml/2009/9/main" objectType="CheckBox" fmlaLink="$G$61" lockText="1" noThreeD="1"/>
</file>

<file path=xl/ctrlProps/ctrlProp91.xml><?xml version="1.0" encoding="utf-8"?>
<formControlPr xmlns="http://schemas.microsoft.com/office/spreadsheetml/2009/9/main" objectType="CheckBox" fmlaLink="$H$61" lockText="1" noThreeD="1"/>
</file>

<file path=xl/ctrlProps/ctrlProp92.xml><?xml version="1.0" encoding="utf-8"?>
<formControlPr xmlns="http://schemas.microsoft.com/office/spreadsheetml/2009/9/main" objectType="CheckBox" fmlaLink="$G$42" lockText="1" noThreeD="1"/>
</file>

<file path=xl/ctrlProps/ctrlProp93.xml><?xml version="1.0" encoding="utf-8"?>
<formControlPr xmlns="http://schemas.microsoft.com/office/spreadsheetml/2009/9/main" objectType="CheckBox" fmlaLink="$J$74" lockText="1" noThreeD="1"/>
</file>

<file path=xl/ctrlProps/ctrlProp94.xml><?xml version="1.0" encoding="utf-8"?>
<formControlPr xmlns="http://schemas.microsoft.com/office/spreadsheetml/2009/9/main" objectType="CheckBox" fmlaLink="$K$74" lockText="1" noThreeD="1"/>
</file>

<file path=xl/ctrlProps/ctrlProp95.xml><?xml version="1.0" encoding="utf-8"?>
<formControlPr xmlns="http://schemas.microsoft.com/office/spreadsheetml/2009/9/main" objectType="CheckBox" fmlaLink="$G$3" lockText="1" noThreeD="1"/>
</file>

<file path=xl/ctrlProps/ctrlProp96.xml><?xml version="1.0" encoding="utf-8"?>
<formControlPr xmlns="http://schemas.microsoft.com/office/spreadsheetml/2009/9/main" objectType="CheckBox" fmlaLink="$G$4" lockText="1" noThreeD="1"/>
</file>

<file path=xl/ctrlProps/ctrlProp97.xml><?xml version="1.0" encoding="utf-8"?>
<formControlPr xmlns="http://schemas.microsoft.com/office/spreadsheetml/2009/9/main" objectType="CheckBox" fmlaLink="$G$5" lockText="1" noThreeD="1"/>
</file>

<file path=xl/ctrlProps/ctrlProp98.xml><?xml version="1.0" encoding="utf-8"?>
<formControlPr xmlns="http://schemas.microsoft.com/office/spreadsheetml/2009/9/main" objectType="CheckBox" fmlaLink="$G$21" lockText="1" noThreeD="1"/>
</file>

<file path=xl/ctrlProps/ctrlProp99.xml><?xml version="1.0" encoding="utf-8"?>
<formControlPr xmlns="http://schemas.microsoft.com/office/spreadsheetml/2009/9/main" objectType="CheckBox" fmlaLink="$G$2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2968153</xdr:colOff>
      <xdr:row>0</xdr:row>
      <xdr:rowOff>57150</xdr:rowOff>
    </xdr:from>
    <xdr:ext cx="1985854" cy="1985854"/>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25153" y="57150"/>
          <a:ext cx="1985854" cy="1985854"/>
        </a:xfrm>
        <a:prstGeom prst="rect">
          <a:avLst/>
        </a:prstGeom>
        <a:noFill/>
        <a:ln w="9525">
          <a:noFill/>
          <a:miter lim="800000"/>
          <a:headEnd/>
          <a:tailEnd/>
        </a:ln>
      </xdr:spPr>
    </xdr:pic>
    <xdr:clientData/>
  </xdr:oneCellAnchor>
  <xdr:twoCellAnchor>
    <xdr:from>
      <xdr:col>0</xdr:col>
      <xdr:colOff>304800</xdr:colOff>
      <xdr:row>6</xdr:row>
      <xdr:rowOff>180975</xdr:rowOff>
    </xdr:from>
    <xdr:to>
      <xdr:col>3</xdr:col>
      <xdr:colOff>2038350</xdr:colOff>
      <xdr:row>15</xdr:row>
      <xdr:rowOff>112777</xdr:rowOff>
    </xdr:to>
    <xdr:sp macro="" textlink="">
      <xdr:nvSpPr>
        <xdr:cNvPr id="3" name="Title 1">
          <a:extLst>
            <a:ext uri="{FF2B5EF4-FFF2-40B4-BE49-F238E27FC236}">
              <a16:creationId xmlns:a16="http://schemas.microsoft.com/office/drawing/2014/main" id="{00000000-0008-0000-0000-000003000000}"/>
            </a:ext>
          </a:extLst>
        </xdr:cNvPr>
        <xdr:cNvSpPr>
          <a:spLocks noGrp="1"/>
        </xdr:cNvSpPr>
      </xdr:nvSpPr>
      <xdr:spPr>
        <a:xfrm>
          <a:off x="304800" y="1133475"/>
          <a:ext cx="2133600" cy="1408177"/>
        </a:xfrm>
        <a:prstGeom prst="rect">
          <a:avLst/>
        </a:prstGeom>
      </xdr:spPr>
      <xdr:txBody>
        <a:bodyPr vert="horz" wrap="square" lIns="91440" tIns="45720" rIns="91440" bIns="45720" rtlCol="0" anchor="b">
          <a:noAutofit/>
        </a:bodyPr>
        <a:lstStyle>
          <a:lvl1pPr algn="r" defTabSz="457200" rtl="0" eaLnBrk="1" latinLnBrk="0" hangingPunct="1">
            <a:spcBef>
              <a:spcPct val="0"/>
            </a:spcBef>
            <a:buNone/>
            <a:defRPr sz="5400" kern="1200">
              <a:solidFill>
                <a:schemeClr val="accent1"/>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r>
            <a:rPr lang="en-GB" sz="3200" kern="1200">
              <a:solidFill>
                <a:schemeClr val="tx1"/>
              </a:solidFill>
              <a:latin typeface="+mj-lt"/>
              <a:ea typeface="+mj-ea"/>
              <a:cs typeface="+mj-cs"/>
            </a:rPr>
            <a:t>BCA Green Mark for  Non-Residential Buildings</a:t>
          </a:r>
          <a:endParaRPr lang="en-SG" sz="3200" kern="1200">
            <a:solidFill>
              <a:schemeClr val="tx1"/>
            </a:solidFill>
            <a:latin typeface="+mj-lt"/>
            <a:ea typeface="+mj-ea"/>
            <a:cs typeface="+mj-cs"/>
          </a:endParaRPr>
        </a:p>
      </xdr:txBody>
    </xdr:sp>
    <xdr:clientData/>
  </xdr:twoCellAnchor>
  <xdr:twoCellAnchor>
    <xdr:from>
      <xdr:col>1</xdr:col>
      <xdr:colOff>413898</xdr:colOff>
      <xdr:row>15</xdr:row>
      <xdr:rowOff>141349</xdr:rowOff>
    </xdr:from>
    <xdr:to>
      <xdr:col>3</xdr:col>
      <xdr:colOff>2046734</xdr:colOff>
      <xdr:row>22</xdr:row>
      <xdr:rowOff>95248</xdr:rowOff>
    </xdr:to>
    <xdr:sp macro="" textlink="">
      <xdr:nvSpPr>
        <xdr:cNvPr id="4" name="Subtitle 2">
          <a:extLst>
            <a:ext uri="{FF2B5EF4-FFF2-40B4-BE49-F238E27FC236}">
              <a16:creationId xmlns:a16="http://schemas.microsoft.com/office/drawing/2014/main" id="{00000000-0008-0000-0000-000004000000}"/>
            </a:ext>
          </a:extLst>
        </xdr:cNvPr>
        <xdr:cNvSpPr>
          <a:spLocks noGrp="1"/>
        </xdr:cNvSpPr>
      </xdr:nvSpPr>
      <xdr:spPr>
        <a:xfrm>
          <a:off x="1023498" y="2570224"/>
          <a:ext cx="1413761" cy="1087374"/>
        </a:xfrm>
        <a:prstGeom prst="rect">
          <a:avLst/>
        </a:prstGeom>
      </xdr:spPr>
      <xdr:txBody>
        <a:bodyPr vert="horz" wrap="square" lIns="91440" tIns="45720" rIns="91440" bIns="45720" rtlCol="0" anchor="t">
          <a:normAutofit/>
        </a:bodyPr>
        <a:lstStyle>
          <a:lvl1pPr marL="0" indent="0" algn="r" defTabSz="457200" rtl="0" eaLnBrk="1" latinLnBrk="0" hangingPunct="1">
            <a:spcBef>
              <a:spcPts val="1000"/>
            </a:spcBef>
            <a:spcAft>
              <a:spcPts val="0"/>
            </a:spcAft>
            <a:buClr>
              <a:schemeClr val="accent1"/>
            </a:buClr>
            <a:buSzPct val="80000"/>
            <a:buFont typeface="Wingdings 3" charset="2"/>
            <a:buNone/>
            <a:defRPr sz="1800" kern="1200">
              <a:solidFill>
                <a:schemeClr val="tx1">
                  <a:lumMod val="50000"/>
                  <a:lumOff val="50000"/>
                </a:schemeClr>
              </a:solidFill>
              <a:latin typeface="+mn-lt"/>
              <a:ea typeface="+mn-ea"/>
              <a:cs typeface="+mn-cs"/>
            </a:defRPr>
          </a:lvl1pPr>
          <a:lvl2pPr marL="457200" indent="0" algn="ctr" defTabSz="457200" rtl="0" eaLnBrk="1" latinLnBrk="0" hangingPunct="1">
            <a:spcBef>
              <a:spcPts val="1000"/>
            </a:spcBef>
            <a:spcAft>
              <a:spcPts val="0"/>
            </a:spcAft>
            <a:buClr>
              <a:schemeClr val="accent1"/>
            </a:buClr>
            <a:buSzPct val="80000"/>
            <a:buFont typeface="Wingdings 3" charset="2"/>
            <a:buNone/>
            <a:defRPr sz="1600" kern="1200">
              <a:solidFill>
                <a:schemeClr val="tx1">
                  <a:tint val="75000"/>
                </a:schemeClr>
              </a:solidFill>
              <a:latin typeface="+mn-lt"/>
              <a:ea typeface="+mn-ea"/>
              <a:cs typeface="+mn-cs"/>
            </a:defRPr>
          </a:lvl2pPr>
          <a:lvl3pPr marL="914400" indent="0" algn="ctr" defTabSz="457200" rtl="0" eaLnBrk="1" latinLnBrk="0" hangingPunct="1">
            <a:spcBef>
              <a:spcPts val="1000"/>
            </a:spcBef>
            <a:spcAft>
              <a:spcPts val="0"/>
            </a:spcAft>
            <a:buClr>
              <a:schemeClr val="accent1"/>
            </a:buClr>
            <a:buSzPct val="80000"/>
            <a:buFont typeface="Wingdings 3" charset="2"/>
            <a:buNone/>
            <a:defRPr sz="1400" kern="1200">
              <a:solidFill>
                <a:schemeClr val="tx1">
                  <a:tint val="75000"/>
                </a:schemeClr>
              </a:solidFill>
              <a:latin typeface="+mn-lt"/>
              <a:ea typeface="+mn-ea"/>
              <a:cs typeface="+mn-cs"/>
            </a:defRPr>
          </a:lvl3pPr>
          <a:lvl4pPr marL="1371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4pPr>
          <a:lvl5pPr marL="18288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5pPr>
          <a:lvl6pPr marL="22860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6pPr>
          <a:lvl7pPr marL="27432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7pPr>
          <a:lvl8pPr marL="32004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8pPr>
          <a:lvl9pPr marL="3657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9pPr>
        </a:lstStyle>
        <a:p>
          <a:r>
            <a:rPr lang="en-GB" sz="3200" kern="1200">
              <a:solidFill>
                <a:schemeClr val="tx1"/>
              </a:solidFill>
              <a:latin typeface="+mj-lt"/>
              <a:ea typeface="+mn-ea"/>
              <a:cs typeface="+mn-cs"/>
            </a:rPr>
            <a:t>GM NRB: 2015</a:t>
          </a:r>
          <a:endParaRPr lang="en-GB" sz="3200">
            <a:solidFill>
              <a:schemeClr val="tx1"/>
            </a:solidFill>
            <a:latin typeface="+mj-lt"/>
          </a:endParaRPr>
        </a:p>
        <a:p>
          <a:r>
            <a:rPr lang="en-GB" sz="2800" b="1">
              <a:solidFill>
                <a:schemeClr val="tx1"/>
              </a:solidFill>
              <a:latin typeface="Calibri Light" panose="020F0302020204030204" pitchFamily="34" charset="0"/>
            </a:rPr>
            <a:t>GM NRB 2015 Score Card</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10</xdr:row>
          <xdr:rowOff>123825</xdr:rowOff>
        </xdr:from>
        <xdr:to>
          <xdr:col>2</xdr:col>
          <xdr:colOff>476250</xdr:colOff>
          <xdr:row>11</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xdr:row>
          <xdr:rowOff>161925</xdr:rowOff>
        </xdr:from>
        <xdr:to>
          <xdr:col>5</xdr:col>
          <xdr:colOff>57150</xdr:colOff>
          <xdr:row>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xdr:row>
          <xdr:rowOff>0</xdr:rowOff>
        </xdr:from>
        <xdr:to>
          <xdr:col>5</xdr:col>
          <xdr:colOff>57150</xdr:colOff>
          <xdr:row>5</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xdr:row>
          <xdr:rowOff>0</xdr:rowOff>
        </xdr:from>
        <xdr:to>
          <xdr:col>5</xdr:col>
          <xdr:colOff>57150</xdr:colOff>
          <xdr:row>3</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190500</xdr:rowOff>
        </xdr:from>
        <xdr:to>
          <xdr:col>2</xdr:col>
          <xdr:colOff>485775</xdr:colOff>
          <xdr:row>16</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361950</xdr:rowOff>
        </xdr:from>
        <xdr:to>
          <xdr:col>3</xdr:col>
          <xdr:colOff>47625</xdr:colOff>
          <xdr:row>31</xdr:row>
          <xdr:rowOff>533400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495300</xdr:rowOff>
        </xdr:from>
        <xdr:to>
          <xdr:col>3</xdr:col>
          <xdr:colOff>47625</xdr:colOff>
          <xdr:row>31</xdr:row>
          <xdr:rowOff>666750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752475</xdr:rowOff>
        </xdr:from>
        <xdr:to>
          <xdr:col>3</xdr:col>
          <xdr:colOff>47625</xdr:colOff>
          <xdr:row>31</xdr:row>
          <xdr:rowOff>942975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228600</xdr:rowOff>
        </xdr:from>
        <xdr:to>
          <xdr:col>3</xdr:col>
          <xdr:colOff>47625</xdr:colOff>
          <xdr:row>38</xdr:row>
          <xdr:rowOff>400050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419100</xdr:rowOff>
        </xdr:from>
        <xdr:to>
          <xdr:col>3</xdr:col>
          <xdr:colOff>47625</xdr:colOff>
          <xdr:row>39</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123825</xdr:rowOff>
        </xdr:from>
        <xdr:to>
          <xdr:col>3</xdr:col>
          <xdr:colOff>47625</xdr:colOff>
          <xdr:row>46</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419100</xdr:rowOff>
        </xdr:from>
        <xdr:to>
          <xdr:col>3</xdr:col>
          <xdr:colOff>47625</xdr:colOff>
          <xdr:row>46</xdr:row>
          <xdr:rowOff>590550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571500</xdr:rowOff>
        </xdr:from>
        <xdr:to>
          <xdr:col>3</xdr:col>
          <xdr:colOff>47625</xdr:colOff>
          <xdr:row>46</xdr:row>
          <xdr:rowOff>742950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47</xdr:row>
          <xdr:rowOff>0</xdr:rowOff>
        </xdr:from>
        <xdr:to>
          <xdr:col>3</xdr:col>
          <xdr:colOff>47625</xdr:colOff>
          <xdr:row>48</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38100</xdr:rowOff>
        </xdr:from>
        <xdr:to>
          <xdr:col>3</xdr:col>
          <xdr:colOff>47625</xdr:colOff>
          <xdr:row>54</xdr:row>
          <xdr:rowOff>209550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247650</xdr:rowOff>
        </xdr:from>
        <xdr:to>
          <xdr:col>3</xdr:col>
          <xdr:colOff>47625</xdr:colOff>
          <xdr:row>54</xdr:row>
          <xdr:rowOff>419100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161925</xdr:rowOff>
        </xdr:from>
        <xdr:to>
          <xdr:col>3</xdr:col>
          <xdr:colOff>47625</xdr:colOff>
          <xdr:row>56</xdr:row>
          <xdr:rowOff>171450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247650</xdr:rowOff>
        </xdr:from>
        <xdr:to>
          <xdr:col>3</xdr:col>
          <xdr:colOff>47625</xdr:colOff>
          <xdr:row>56</xdr:row>
          <xdr:rowOff>419100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390525</xdr:rowOff>
        </xdr:from>
        <xdr:to>
          <xdr:col>3</xdr:col>
          <xdr:colOff>47625</xdr:colOff>
          <xdr:row>56</xdr:row>
          <xdr:rowOff>561975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581025</xdr:rowOff>
        </xdr:from>
        <xdr:to>
          <xdr:col>3</xdr:col>
          <xdr:colOff>47625</xdr:colOff>
          <xdr:row>56</xdr:row>
          <xdr:rowOff>752475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133350</xdr:rowOff>
        </xdr:from>
        <xdr:to>
          <xdr:col>3</xdr:col>
          <xdr:colOff>47625</xdr:colOff>
          <xdr:row>58</xdr:row>
          <xdr:rowOff>161925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0</xdr:rowOff>
        </xdr:from>
        <xdr:to>
          <xdr:col>3</xdr:col>
          <xdr:colOff>47625</xdr:colOff>
          <xdr:row>69</xdr:row>
          <xdr:rowOff>171450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0</xdr:rowOff>
        </xdr:from>
        <xdr:to>
          <xdr:col>3</xdr:col>
          <xdr:colOff>47625</xdr:colOff>
          <xdr:row>85</xdr:row>
          <xdr:rowOff>171450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285750</xdr:rowOff>
        </xdr:from>
        <xdr:to>
          <xdr:col>3</xdr:col>
          <xdr:colOff>47625</xdr:colOff>
          <xdr:row>42</xdr:row>
          <xdr:rowOff>457200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504825</xdr:rowOff>
        </xdr:from>
        <xdr:to>
          <xdr:col>3</xdr:col>
          <xdr:colOff>47625</xdr:colOff>
          <xdr:row>42</xdr:row>
          <xdr:rowOff>666750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46968</xdr:colOff>
      <xdr:row>44</xdr:row>
      <xdr:rowOff>421480</xdr:rowOff>
    </xdr:from>
    <xdr:to>
      <xdr:col>1</xdr:col>
      <xdr:colOff>141397</xdr:colOff>
      <xdr:row>44</xdr:row>
      <xdr:rowOff>552859</xdr:rowOff>
    </xdr:to>
    <xdr:sp macro="" textlink="$C$45">
      <xdr:nvSpPr>
        <xdr:cNvPr id="41" name="TextBox 40">
          <a:extLst>
            <a:ext uri="{FF2B5EF4-FFF2-40B4-BE49-F238E27FC236}">
              <a16:creationId xmlns:a16="http://schemas.microsoft.com/office/drawing/2014/main" id="{00000000-0008-0000-0200-000029000000}"/>
            </a:ext>
          </a:extLst>
        </xdr:cNvPr>
        <xdr:cNvSpPr txBox="1"/>
      </xdr:nvSpPr>
      <xdr:spPr>
        <a:xfrm>
          <a:off x="46968" y="13623130"/>
          <a:ext cx="494479"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6EEFD15D-8AC4-43DF-A41C-DA4131AB6BD5}"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90243</xdr:colOff>
      <xdr:row>50</xdr:row>
      <xdr:rowOff>429775</xdr:rowOff>
    </xdr:from>
    <xdr:to>
      <xdr:col>1</xdr:col>
      <xdr:colOff>567315</xdr:colOff>
      <xdr:row>50</xdr:row>
      <xdr:rowOff>561154</xdr:rowOff>
    </xdr:to>
    <xdr:sp macro="" textlink="$C$51">
      <xdr:nvSpPr>
        <xdr:cNvPr id="42" name="TextBox 41">
          <a:extLst>
            <a:ext uri="{FF2B5EF4-FFF2-40B4-BE49-F238E27FC236}">
              <a16:creationId xmlns:a16="http://schemas.microsoft.com/office/drawing/2014/main" id="{00000000-0008-0000-0200-00002A000000}"/>
            </a:ext>
          </a:extLst>
        </xdr:cNvPr>
        <xdr:cNvSpPr txBox="1"/>
      </xdr:nvSpPr>
      <xdr:spPr>
        <a:xfrm>
          <a:off x="495056" y="17670025"/>
          <a:ext cx="47707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5CEC9DD0-937F-4AEA-94B3-176803195A20}"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1677629</xdr:colOff>
      <xdr:row>58</xdr:row>
      <xdr:rowOff>265652</xdr:rowOff>
    </xdr:from>
    <xdr:to>
      <xdr:col>1</xdr:col>
      <xdr:colOff>2176871</xdr:colOff>
      <xdr:row>58</xdr:row>
      <xdr:rowOff>397031</xdr:rowOff>
    </xdr:to>
    <xdr:sp macro="" textlink="$C$59">
      <xdr:nvSpPr>
        <xdr:cNvPr id="43" name="TextBox 42">
          <a:extLst>
            <a:ext uri="{FF2B5EF4-FFF2-40B4-BE49-F238E27FC236}">
              <a16:creationId xmlns:a16="http://schemas.microsoft.com/office/drawing/2014/main" id="{00000000-0008-0000-0200-00002B000000}"/>
            </a:ext>
          </a:extLst>
        </xdr:cNvPr>
        <xdr:cNvSpPr txBox="1"/>
      </xdr:nvSpPr>
      <xdr:spPr>
        <a:xfrm>
          <a:off x="2072568" y="19373731"/>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1B8C6AD-0C05-47D3-8CCD-2A2AD3CC8989}"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465371</xdr:colOff>
      <xdr:row>63</xdr:row>
      <xdr:rowOff>396033</xdr:rowOff>
    </xdr:from>
    <xdr:to>
      <xdr:col>1</xdr:col>
      <xdr:colOff>964613</xdr:colOff>
      <xdr:row>63</xdr:row>
      <xdr:rowOff>527412</xdr:rowOff>
    </xdr:to>
    <xdr:sp macro="" textlink="$C$64">
      <xdr:nvSpPr>
        <xdr:cNvPr id="44" name="TextBox 43">
          <a:extLst>
            <a:ext uri="{FF2B5EF4-FFF2-40B4-BE49-F238E27FC236}">
              <a16:creationId xmlns:a16="http://schemas.microsoft.com/office/drawing/2014/main" id="{00000000-0008-0000-0200-00002C000000}"/>
            </a:ext>
          </a:extLst>
        </xdr:cNvPr>
        <xdr:cNvSpPr txBox="1"/>
      </xdr:nvSpPr>
      <xdr:spPr>
        <a:xfrm>
          <a:off x="860310" y="21420728"/>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BE16407-2FD1-4232-BFB0-0E6FC4BF4823}"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1597492</xdr:colOff>
      <xdr:row>67</xdr:row>
      <xdr:rowOff>53517</xdr:rowOff>
    </xdr:from>
    <xdr:to>
      <xdr:col>1</xdr:col>
      <xdr:colOff>2096734</xdr:colOff>
      <xdr:row>67</xdr:row>
      <xdr:rowOff>184896</xdr:rowOff>
    </xdr:to>
    <xdr:sp macro="" textlink="$C$68">
      <xdr:nvSpPr>
        <xdr:cNvPr id="45" name="TextBox 44">
          <a:extLst>
            <a:ext uri="{FF2B5EF4-FFF2-40B4-BE49-F238E27FC236}">
              <a16:creationId xmlns:a16="http://schemas.microsoft.com/office/drawing/2014/main" id="{00000000-0008-0000-0200-00002D000000}"/>
            </a:ext>
          </a:extLst>
        </xdr:cNvPr>
        <xdr:cNvSpPr txBox="1"/>
      </xdr:nvSpPr>
      <xdr:spPr>
        <a:xfrm>
          <a:off x="1996213" y="2167305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13E94A6-1DD2-4DAB-B669-49D571AD535F}"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2292720</xdr:colOff>
      <xdr:row>78</xdr:row>
      <xdr:rowOff>297575</xdr:rowOff>
    </xdr:from>
    <xdr:to>
      <xdr:col>1</xdr:col>
      <xdr:colOff>2692263</xdr:colOff>
      <xdr:row>78</xdr:row>
      <xdr:rowOff>411957</xdr:rowOff>
    </xdr:to>
    <xdr:sp macro="" textlink="$C$78">
      <xdr:nvSpPr>
        <xdr:cNvPr id="51" name="TextBox 50">
          <a:extLst>
            <a:ext uri="{FF2B5EF4-FFF2-40B4-BE49-F238E27FC236}">
              <a16:creationId xmlns:a16="http://schemas.microsoft.com/office/drawing/2014/main" id="{00000000-0008-0000-0200-000033000000}"/>
            </a:ext>
          </a:extLst>
        </xdr:cNvPr>
        <xdr:cNvSpPr txBox="1"/>
      </xdr:nvSpPr>
      <xdr:spPr>
        <a:xfrm>
          <a:off x="2692770" y="23738600"/>
          <a:ext cx="399543" cy="11438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8486C230-0C9A-4CC8-AA2A-B3EF043F827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2501007</xdr:colOff>
      <xdr:row>23</xdr:row>
      <xdr:rowOff>273972</xdr:rowOff>
    </xdr:from>
    <xdr:to>
      <xdr:col>1</xdr:col>
      <xdr:colOff>3000249</xdr:colOff>
      <xdr:row>23</xdr:row>
      <xdr:rowOff>408836</xdr:rowOff>
    </xdr:to>
    <xdr:sp macro="" textlink="$C$24">
      <xdr:nvSpPr>
        <xdr:cNvPr id="57" name="TextBox 56">
          <a:extLst>
            <a:ext uri="{FF2B5EF4-FFF2-40B4-BE49-F238E27FC236}">
              <a16:creationId xmlns:a16="http://schemas.microsoft.com/office/drawing/2014/main" id="{00000000-0008-0000-0200-000039000000}"/>
            </a:ext>
          </a:extLst>
        </xdr:cNvPr>
        <xdr:cNvSpPr txBox="1"/>
      </xdr:nvSpPr>
      <xdr:spPr>
        <a:xfrm>
          <a:off x="2901057" y="6141372"/>
          <a:ext cx="499242" cy="134864"/>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1C3FD81-8751-4533-A941-4938D757B2EC}"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0</xdr:col>
      <xdr:colOff>393548</xdr:colOff>
      <xdr:row>24</xdr:row>
      <xdr:rowOff>256344</xdr:rowOff>
    </xdr:from>
    <xdr:to>
      <xdr:col>1</xdr:col>
      <xdr:colOff>492740</xdr:colOff>
      <xdr:row>24</xdr:row>
      <xdr:rowOff>390526</xdr:rowOff>
    </xdr:to>
    <xdr:sp macro="" textlink="$C$25">
      <xdr:nvSpPr>
        <xdr:cNvPr id="58" name="TextBox 57">
          <a:extLst>
            <a:ext uri="{FF2B5EF4-FFF2-40B4-BE49-F238E27FC236}">
              <a16:creationId xmlns:a16="http://schemas.microsoft.com/office/drawing/2014/main" id="{00000000-0008-0000-0200-00003A000000}"/>
            </a:ext>
          </a:extLst>
        </xdr:cNvPr>
        <xdr:cNvSpPr txBox="1"/>
      </xdr:nvSpPr>
      <xdr:spPr>
        <a:xfrm>
          <a:off x="393548" y="6542844"/>
          <a:ext cx="499242" cy="13418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FD30081-C598-4786-9635-1763D5E7027B}"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1910415</xdr:colOff>
      <xdr:row>27</xdr:row>
      <xdr:rowOff>183901</xdr:rowOff>
    </xdr:from>
    <xdr:to>
      <xdr:col>1</xdr:col>
      <xdr:colOff>2405063</xdr:colOff>
      <xdr:row>27</xdr:row>
      <xdr:rowOff>321790</xdr:rowOff>
    </xdr:to>
    <xdr:sp macro="" textlink="$C$28">
      <xdr:nvSpPr>
        <xdr:cNvPr id="60" name="TextBox 59">
          <a:extLst>
            <a:ext uri="{FF2B5EF4-FFF2-40B4-BE49-F238E27FC236}">
              <a16:creationId xmlns:a16="http://schemas.microsoft.com/office/drawing/2014/main" id="{00000000-0008-0000-0200-00003C000000}"/>
            </a:ext>
          </a:extLst>
        </xdr:cNvPr>
        <xdr:cNvSpPr txBox="1"/>
      </xdr:nvSpPr>
      <xdr:spPr>
        <a:xfrm>
          <a:off x="2315228" y="7232401"/>
          <a:ext cx="494648" cy="13788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887F2AC8-9748-4754-985F-DCB67D3ABEBA}"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1927796</xdr:colOff>
      <xdr:row>79</xdr:row>
      <xdr:rowOff>384006</xdr:rowOff>
    </xdr:from>
    <xdr:to>
      <xdr:col>1</xdr:col>
      <xdr:colOff>2372595</xdr:colOff>
      <xdr:row>80</xdr:row>
      <xdr:rowOff>289</xdr:rowOff>
    </xdr:to>
    <xdr:sp macro="" textlink="$C$80">
      <xdr:nvSpPr>
        <xdr:cNvPr id="69" name="TextBox 68">
          <a:extLst>
            <a:ext uri="{FF2B5EF4-FFF2-40B4-BE49-F238E27FC236}">
              <a16:creationId xmlns:a16="http://schemas.microsoft.com/office/drawing/2014/main" id="{00000000-0008-0000-0200-000045000000}"/>
            </a:ext>
          </a:extLst>
        </xdr:cNvPr>
        <xdr:cNvSpPr txBox="1"/>
      </xdr:nvSpPr>
      <xdr:spPr>
        <a:xfrm>
          <a:off x="2327846" y="24244131"/>
          <a:ext cx="444799" cy="121108"/>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26D4D2DE-F8B8-439D-854C-C5E3E0A23F3B}"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737011</xdr:colOff>
      <xdr:row>80</xdr:row>
      <xdr:rowOff>557896</xdr:rowOff>
    </xdr:from>
    <xdr:to>
      <xdr:col>1</xdr:col>
      <xdr:colOff>1236253</xdr:colOff>
      <xdr:row>81</xdr:row>
      <xdr:rowOff>12780</xdr:rowOff>
    </xdr:to>
    <xdr:sp macro="" textlink="$C$81">
      <xdr:nvSpPr>
        <xdr:cNvPr id="70" name="TextBox 69">
          <a:extLst>
            <a:ext uri="{FF2B5EF4-FFF2-40B4-BE49-F238E27FC236}">
              <a16:creationId xmlns:a16="http://schemas.microsoft.com/office/drawing/2014/main" id="{00000000-0008-0000-0200-000046000000}"/>
            </a:ext>
          </a:extLst>
        </xdr:cNvPr>
        <xdr:cNvSpPr txBox="1"/>
      </xdr:nvSpPr>
      <xdr:spPr>
        <a:xfrm>
          <a:off x="1137061" y="24922846"/>
          <a:ext cx="499242" cy="13115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CAF2AED-793A-43CD-8B85-31A468B0AB43}"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893233</xdr:colOff>
      <xdr:row>81</xdr:row>
      <xdr:rowOff>389788</xdr:rowOff>
    </xdr:from>
    <xdr:to>
      <xdr:col>1</xdr:col>
      <xdr:colOff>1392475</xdr:colOff>
      <xdr:row>81</xdr:row>
      <xdr:rowOff>521687</xdr:rowOff>
    </xdr:to>
    <xdr:sp macro="" textlink="$C$82">
      <xdr:nvSpPr>
        <xdr:cNvPr id="71" name="TextBox 70">
          <a:extLst>
            <a:ext uri="{FF2B5EF4-FFF2-40B4-BE49-F238E27FC236}">
              <a16:creationId xmlns:a16="http://schemas.microsoft.com/office/drawing/2014/main" id="{00000000-0008-0000-0200-000047000000}"/>
            </a:ext>
          </a:extLst>
        </xdr:cNvPr>
        <xdr:cNvSpPr txBox="1"/>
      </xdr:nvSpPr>
      <xdr:spPr>
        <a:xfrm>
          <a:off x="1293283" y="25431013"/>
          <a:ext cx="499242" cy="13189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CE8EE40-7F9E-47B9-8370-EFEAC96C7DFF}" type="TxLink">
            <a:rPr lang="en-US" sz="900" b="0" i="0" u="none" strike="noStrike">
              <a:solidFill>
                <a:srgbClr val="0070C0"/>
              </a:solidFill>
              <a:latin typeface="Cambria"/>
            </a:rPr>
            <a:pPr algn="ctr"/>
            <a:t>NA</a:t>
          </a:fld>
          <a:endParaRPr lang="en-US" sz="800">
            <a:solidFill>
              <a:sysClr val="windowText" lastClr="000000"/>
            </a:solidFill>
          </a:endParaRPr>
        </a:p>
      </xdr:txBody>
    </xdr:sp>
    <xdr:clientData/>
  </xdr:twoCellAnchor>
  <xdr:twoCellAnchor>
    <xdr:from>
      <xdr:col>1</xdr:col>
      <xdr:colOff>899144</xdr:colOff>
      <xdr:row>82</xdr:row>
      <xdr:rowOff>10743</xdr:rowOff>
    </xdr:from>
    <xdr:to>
      <xdr:col>1</xdr:col>
      <xdr:colOff>1398386</xdr:colOff>
      <xdr:row>82</xdr:row>
      <xdr:rowOff>143559</xdr:rowOff>
    </xdr:to>
    <xdr:sp macro="" textlink="$C$83">
      <xdr:nvSpPr>
        <xdr:cNvPr id="72" name="TextBox 71">
          <a:extLst>
            <a:ext uri="{FF2B5EF4-FFF2-40B4-BE49-F238E27FC236}">
              <a16:creationId xmlns:a16="http://schemas.microsoft.com/office/drawing/2014/main" id="{00000000-0008-0000-0200-000048000000}"/>
            </a:ext>
          </a:extLst>
        </xdr:cNvPr>
        <xdr:cNvSpPr txBox="1"/>
      </xdr:nvSpPr>
      <xdr:spPr>
        <a:xfrm>
          <a:off x="1299194" y="25575843"/>
          <a:ext cx="499242" cy="132816"/>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0B2D8A7-00F1-473E-8416-E279E2DA8A77}"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897624</xdr:colOff>
      <xdr:row>83</xdr:row>
      <xdr:rowOff>9852</xdr:rowOff>
    </xdr:from>
    <xdr:to>
      <xdr:col>1</xdr:col>
      <xdr:colOff>1396866</xdr:colOff>
      <xdr:row>83</xdr:row>
      <xdr:rowOff>146320</xdr:rowOff>
    </xdr:to>
    <xdr:sp macro="" textlink="$C$84">
      <xdr:nvSpPr>
        <xdr:cNvPr id="73" name="TextBox 72">
          <a:extLst>
            <a:ext uri="{FF2B5EF4-FFF2-40B4-BE49-F238E27FC236}">
              <a16:creationId xmlns:a16="http://schemas.microsoft.com/office/drawing/2014/main" id="{00000000-0008-0000-0200-000049000000}"/>
            </a:ext>
          </a:extLst>
        </xdr:cNvPr>
        <xdr:cNvSpPr txBox="1"/>
      </xdr:nvSpPr>
      <xdr:spPr>
        <a:xfrm>
          <a:off x="1297674" y="25727352"/>
          <a:ext cx="499242" cy="136468"/>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19E0B3F-0DBD-4BDF-B487-3A35CA3B83E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17</xdr:row>
          <xdr:rowOff>85725</xdr:rowOff>
        </xdr:from>
        <xdr:to>
          <xdr:col>3</xdr:col>
          <xdr:colOff>47625</xdr:colOff>
          <xdr:row>17</xdr:row>
          <xdr:rowOff>257175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495300</xdr:rowOff>
        </xdr:from>
        <xdr:to>
          <xdr:col>3</xdr:col>
          <xdr:colOff>47625</xdr:colOff>
          <xdr:row>19</xdr:row>
          <xdr:rowOff>666750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1907631</xdr:colOff>
      <xdr:row>28</xdr:row>
      <xdr:rowOff>9883</xdr:rowOff>
    </xdr:from>
    <xdr:to>
      <xdr:col>1</xdr:col>
      <xdr:colOff>2406873</xdr:colOff>
      <xdr:row>28</xdr:row>
      <xdr:rowOff>144325</xdr:rowOff>
    </xdr:to>
    <xdr:sp macro="" textlink="$C$29">
      <xdr:nvSpPr>
        <xdr:cNvPr id="66" name="TextBox 65">
          <a:extLst>
            <a:ext uri="{FF2B5EF4-FFF2-40B4-BE49-F238E27FC236}">
              <a16:creationId xmlns:a16="http://schemas.microsoft.com/office/drawing/2014/main" id="{00000000-0008-0000-0200-000042000000}"/>
            </a:ext>
          </a:extLst>
        </xdr:cNvPr>
        <xdr:cNvSpPr txBox="1"/>
      </xdr:nvSpPr>
      <xdr:spPr>
        <a:xfrm>
          <a:off x="2312444" y="7391758"/>
          <a:ext cx="499242" cy="13444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5A6201BD-6591-4FB7-8C67-3D09D91BEB12}"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21</xdr:row>
          <xdr:rowOff>0</xdr:rowOff>
        </xdr:from>
        <xdr:to>
          <xdr:col>3</xdr:col>
          <xdr:colOff>47625</xdr:colOff>
          <xdr:row>21</xdr:row>
          <xdr:rowOff>171450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142875</xdr:rowOff>
        </xdr:from>
        <xdr:to>
          <xdr:col>3</xdr:col>
          <xdr:colOff>47625</xdr:colOff>
          <xdr:row>21</xdr:row>
          <xdr:rowOff>314325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276225</xdr:rowOff>
        </xdr:from>
        <xdr:to>
          <xdr:col>3</xdr:col>
          <xdr:colOff>47625</xdr:colOff>
          <xdr:row>21</xdr:row>
          <xdr:rowOff>447675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0</xdr:rowOff>
        </xdr:from>
        <xdr:to>
          <xdr:col>3</xdr:col>
          <xdr:colOff>47625</xdr:colOff>
          <xdr:row>65</xdr:row>
          <xdr:rowOff>171450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171450</xdr:rowOff>
        </xdr:from>
        <xdr:to>
          <xdr:col>3</xdr:col>
          <xdr:colOff>47625</xdr:colOff>
          <xdr:row>71</xdr:row>
          <xdr:rowOff>352425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72</xdr:row>
          <xdr:rowOff>9525</xdr:rowOff>
        </xdr:from>
        <xdr:to>
          <xdr:col>3</xdr:col>
          <xdr:colOff>47625</xdr:colOff>
          <xdr:row>72</xdr:row>
          <xdr:rowOff>171450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781050</xdr:rowOff>
        </xdr:from>
        <xdr:to>
          <xdr:col>3</xdr:col>
          <xdr:colOff>47625</xdr:colOff>
          <xdr:row>46</xdr:row>
          <xdr:rowOff>952500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628650</xdr:rowOff>
        </xdr:from>
        <xdr:to>
          <xdr:col>3</xdr:col>
          <xdr:colOff>47625</xdr:colOff>
          <xdr:row>31</xdr:row>
          <xdr:rowOff>800100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895350</xdr:rowOff>
        </xdr:from>
        <xdr:to>
          <xdr:col>3</xdr:col>
          <xdr:colOff>47625</xdr:colOff>
          <xdr:row>32</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834305</xdr:colOff>
      <xdr:row>32</xdr:row>
      <xdr:rowOff>122314</xdr:rowOff>
    </xdr:from>
    <xdr:to>
      <xdr:col>1</xdr:col>
      <xdr:colOff>1333547</xdr:colOff>
      <xdr:row>32</xdr:row>
      <xdr:rowOff>253693</xdr:rowOff>
    </xdr:to>
    <xdr:sp macro="" textlink="$C$33">
      <xdr:nvSpPr>
        <xdr:cNvPr id="74" name="TextBox 73">
          <a:extLst>
            <a:ext uri="{FF2B5EF4-FFF2-40B4-BE49-F238E27FC236}">
              <a16:creationId xmlns:a16="http://schemas.microsoft.com/office/drawing/2014/main" id="{00000000-0008-0000-0200-00004A000000}"/>
            </a:ext>
          </a:extLst>
        </xdr:cNvPr>
        <xdr:cNvSpPr txBox="1"/>
      </xdr:nvSpPr>
      <xdr:spPr>
        <a:xfrm>
          <a:off x="1234355" y="9437764"/>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B5A29A6-6DC0-42DF-8841-4D8DB42E9A98}"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2381779</xdr:colOff>
      <xdr:row>72</xdr:row>
      <xdr:rowOff>178963</xdr:rowOff>
    </xdr:from>
    <xdr:to>
      <xdr:col>1</xdr:col>
      <xdr:colOff>2881021</xdr:colOff>
      <xdr:row>73</xdr:row>
      <xdr:rowOff>117785</xdr:rowOff>
    </xdr:to>
    <xdr:sp macro="" textlink="$C$74">
      <xdr:nvSpPr>
        <xdr:cNvPr id="76" name="TextBox 75">
          <a:extLst>
            <a:ext uri="{FF2B5EF4-FFF2-40B4-BE49-F238E27FC236}">
              <a16:creationId xmlns:a16="http://schemas.microsoft.com/office/drawing/2014/main" id="{00000000-0008-0000-0200-00004C000000}"/>
            </a:ext>
          </a:extLst>
        </xdr:cNvPr>
        <xdr:cNvSpPr txBox="1"/>
      </xdr:nvSpPr>
      <xdr:spPr>
        <a:xfrm>
          <a:off x="2781829" y="22543663"/>
          <a:ext cx="499242" cy="12932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11A7D6FA-EBA3-498B-8D3C-D2A76E163EC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2367085</xdr:colOff>
      <xdr:row>73</xdr:row>
      <xdr:rowOff>148181</xdr:rowOff>
    </xdr:from>
    <xdr:to>
      <xdr:col>1</xdr:col>
      <xdr:colOff>2870973</xdr:colOff>
      <xdr:row>74</xdr:row>
      <xdr:rowOff>111047</xdr:rowOff>
    </xdr:to>
    <xdr:sp macro="" textlink="$C$75">
      <xdr:nvSpPr>
        <xdr:cNvPr id="77" name="TextBox 76">
          <a:extLst>
            <a:ext uri="{FF2B5EF4-FFF2-40B4-BE49-F238E27FC236}">
              <a16:creationId xmlns:a16="http://schemas.microsoft.com/office/drawing/2014/main" id="{00000000-0008-0000-0200-00004D000000}"/>
            </a:ext>
          </a:extLst>
        </xdr:cNvPr>
        <xdr:cNvSpPr txBox="1"/>
      </xdr:nvSpPr>
      <xdr:spPr>
        <a:xfrm>
          <a:off x="2767135" y="22703381"/>
          <a:ext cx="503888" cy="124791"/>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774CA51-515F-4AB0-8A30-1FF480BE2A06}"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2371441</xdr:colOff>
      <xdr:row>74</xdr:row>
      <xdr:rowOff>151257</xdr:rowOff>
    </xdr:from>
    <xdr:to>
      <xdr:col>1</xdr:col>
      <xdr:colOff>2870683</xdr:colOff>
      <xdr:row>75</xdr:row>
      <xdr:rowOff>113717</xdr:rowOff>
    </xdr:to>
    <xdr:sp macro="" textlink="$C$76">
      <xdr:nvSpPr>
        <xdr:cNvPr id="78" name="TextBox 77">
          <a:extLst>
            <a:ext uri="{FF2B5EF4-FFF2-40B4-BE49-F238E27FC236}">
              <a16:creationId xmlns:a16="http://schemas.microsoft.com/office/drawing/2014/main" id="{00000000-0008-0000-0200-00004E000000}"/>
            </a:ext>
          </a:extLst>
        </xdr:cNvPr>
        <xdr:cNvSpPr txBox="1"/>
      </xdr:nvSpPr>
      <xdr:spPr>
        <a:xfrm>
          <a:off x="2771491" y="22868382"/>
          <a:ext cx="499242" cy="124385"/>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575E22B-C6E9-438B-A5B4-290A7AEB5847}"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40</xdr:row>
          <xdr:rowOff>0</xdr:rowOff>
        </xdr:from>
        <xdr:to>
          <xdr:col>3</xdr:col>
          <xdr:colOff>47625</xdr:colOff>
          <xdr:row>40</xdr:row>
          <xdr:rowOff>180975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657225</xdr:rowOff>
        </xdr:from>
        <xdr:to>
          <xdr:col>3</xdr:col>
          <xdr:colOff>47625</xdr:colOff>
          <xdr:row>19</xdr:row>
          <xdr:rowOff>828675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323850</xdr:rowOff>
        </xdr:from>
        <xdr:to>
          <xdr:col>3</xdr:col>
          <xdr:colOff>28575</xdr:colOff>
          <xdr:row>25</xdr:row>
          <xdr:rowOff>495300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0</xdr:rowOff>
        </xdr:from>
        <xdr:to>
          <xdr:col>3</xdr:col>
          <xdr:colOff>28575</xdr:colOff>
          <xdr:row>27</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61</xdr:row>
          <xdr:rowOff>295275</xdr:rowOff>
        </xdr:from>
        <xdr:to>
          <xdr:col>2</xdr:col>
          <xdr:colOff>457200</xdr:colOff>
          <xdr:row>62</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xdr:row>
          <xdr:rowOff>142875</xdr:rowOff>
        </xdr:from>
        <xdr:to>
          <xdr:col>4</xdr:col>
          <xdr:colOff>438150</xdr:colOff>
          <xdr:row>4</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xdr:row>
          <xdr:rowOff>133350</xdr:rowOff>
        </xdr:from>
        <xdr:to>
          <xdr:col>4</xdr:col>
          <xdr:colOff>438150</xdr:colOff>
          <xdr:row>5</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xdr:row>
          <xdr:rowOff>142875</xdr:rowOff>
        </xdr:from>
        <xdr:to>
          <xdr:col>4</xdr:col>
          <xdr:colOff>438150</xdr:colOff>
          <xdr:row>3</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SG" sz="1000" b="0" i="0" u="none" strike="noStrike" baseline="0">
                  <a:solidFill>
                    <a:srgbClr val="000000"/>
                  </a:solidFill>
                  <a:latin typeface="Arial"/>
                  <a:cs typeface="Arial"/>
                </a:rPr>
                <a:t> </a:t>
              </a:r>
            </a:p>
          </xdr:txBody>
        </xdr:sp>
        <xdr:clientData fLocksWithSheet="0"/>
      </xdr:twoCellAnchor>
    </mc:Choice>
    <mc:Fallback/>
  </mc:AlternateContent>
  <xdr:twoCellAnchor>
    <xdr:from>
      <xdr:col>1</xdr:col>
      <xdr:colOff>1112826</xdr:colOff>
      <xdr:row>11</xdr:row>
      <xdr:rowOff>833505</xdr:rowOff>
    </xdr:from>
    <xdr:to>
      <xdr:col>1</xdr:col>
      <xdr:colOff>1612068</xdr:colOff>
      <xdr:row>11</xdr:row>
      <xdr:rowOff>964884</xdr:rowOff>
    </xdr:to>
    <xdr:sp macro="" textlink="$C$12">
      <xdr:nvSpPr>
        <xdr:cNvPr id="7" name="TextBox 6">
          <a:extLst>
            <a:ext uri="{FF2B5EF4-FFF2-40B4-BE49-F238E27FC236}">
              <a16:creationId xmlns:a16="http://schemas.microsoft.com/office/drawing/2014/main" id="{00000000-0008-0000-0300-000007000000}"/>
            </a:ext>
          </a:extLst>
        </xdr:cNvPr>
        <xdr:cNvSpPr txBox="1"/>
      </xdr:nvSpPr>
      <xdr:spPr>
        <a:xfrm>
          <a:off x="1535239" y="2796483"/>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2E2558B-6CD6-40A1-ABD6-F43AC026A6A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1105197</xdr:colOff>
      <xdr:row>13</xdr:row>
      <xdr:rowOff>321885</xdr:rowOff>
    </xdr:from>
    <xdr:to>
      <xdr:col>1</xdr:col>
      <xdr:colOff>1604439</xdr:colOff>
      <xdr:row>13</xdr:row>
      <xdr:rowOff>453264</xdr:rowOff>
    </xdr:to>
    <xdr:sp macro="" textlink="$C$14">
      <xdr:nvSpPr>
        <xdr:cNvPr id="8" name="TextBox 7">
          <a:extLst>
            <a:ext uri="{FF2B5EF4-FFF2-40B4-BE49-F238E27FC236}">
              <a16:creationId xmlns:a16="http://schemas.microsoft.com/office/drawing/2014/main" id="{00000000-0008-0000-0300-000008000000}"/>
            </a:ext>
          </a:extLst>
        </xdr:cNvPr>
        <xdr:cNvSpPr txBox="1"/>
      </xdr:nvSpPr>
      <xdr:spPr>
        <a:xfrm>
          <a:off x="1521916" y="3453229"/>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08A3CC62-8C13-4660-B41A-3EBEE6474093}"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1192640</xdr:colOff>
      <xdr:row>15</xdr:row>
      <xdr:rowOff>589914</xdr:rowOff>
    </xdr:from>
    <xdr:to>
      <xdr:col>1</xdr:col>
      <xdr:colOff>1691882</xdr:colOff>
      <xdr:row>15</xdr:row>
      <xdr:rowOff>721293</xdr:rowOff>
    </xdr:to>
    <xdr:sp macro="" textlink="$C$16">
      <xdr:nvSpPr>
        <xdr:cNvPr id="9" name="TextBox 8">
          <a:extLst>
            <a:ext uri="{FF2B5EF4-FFF2-40B4-BE49-F238E27FC236}">
              <a16:creationId xmlns:a16="http://schemas.microsoft.com/office/drawing/2014/main" id="{00000000-0008-0000-0300-000009000000}"/>
            </a:ext>
          </a:extLst>
        </xdr:cNvPr>
        <xdr:cNvSpPr txBox="1"/>
      </xdr:nvSpPr>
      <xdr:spPr>
        <a:xfrm>
          <a:off x="1615053" y="4358501"/>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64F883C3-639A-49E4-AD5E-C7EC08D653B6}"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2038501</xdr:colOff>
      <xdr:row>19</xdr:row>
      <xdr:rowOff>26685</xdr:rowOff>
    </xdr:from>
    <xdr:to>
      <xdr:col>1</xdr:col>
      <xdr:colOff>2537743</xdr:colOff>
      <xdr:row>19</xdr:row>
      <xdr:rowOff>158064</xdr:rowOff>
    </xdr:to>
    <xdr:sp macro="" textlink="$G$19">
      <xdr:nvSpPr>
        <xdr:cNvPr id="10" name="TextBox 9">
          <a:extLst>
            <a:ext uri="{FF2B5EF4-FFF2-40B4-BE49-F238E27FC236}">
              <a16:creationId xmlns:a16="http://schemas.microsoft.com/office/drawing/2014/main" id="{00000000-0008-0000-0300-00000A000000}"/>
            </a:ext>
          </a:extLst>
        </xdr:cNvPr>
        <xdr:cNvSpPr txBox="1"/>
      </xdr:nvSpPr>
      <xdr:spPr>
        <a:xfrm>
          <a:off x="2460914" y="5948750"/>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marL="0" indent="0" algn="ctr"/>
          <a:fld id="{54125A19-A6FC-4D67-846E-6BAC0EF9EB0D}" type="TxLink">
            <a:rPr lang="en-US" sz="900" b="0" i="0" u="none" strike="noStrike">
              <a:solidFill>
                <a:srgbClr val="0070C0"/>
              </a:solidFill>
              <a:latin typeface="Cambria"/>
              <a:ea typeface="+mn-ea"/>
              <a:cs typeface="+mn-cs"/>
            </a:rPr>
            <a:pPr marL="0" indent="0" algn="ctr"/>
            <a:t>0</a:t>
          </a:fld>
          <a:endParaRPr lang="en-US" sz="900" b="0" i="0" u="none" strike="noStrike">
            <a:solidFill>
              <a:srgbClr val="0070C0"/>
            </a:solidFill>
            <a:latin typeface="Cambri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161925</xdr:colOff>
          <xdr:row>64</xdr:row>
          <xdr:rowOff>209550</xdr:rowOff>
        </xdr:from>
        <xdr:to>
          <xdr:col>2</xdr:col>
          <xdr:colOff>457200</xdr:colOff>
          <xdr:row>64</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304800</xdr:rowOff>
        </xdr:from>
        <xdr:to>
          <xdr:col>2</xdr:col>
          <xdr:colOff>457200</xdr:colOff>
          <xdr:row>64</xdr:row>
          <xdr:rowOff>533400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447675</xdr:rowOff>
        </xdr:from>
        <xdr:to>
          <xdr:col>2</xdr:col>
          <xdr:colOff>457200</xdr:colOff>
          <xdr:row>65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305980</xdr:colOff>
      <xdr:row>66</xdr:row>
      <xdr:rowOff>779096</xdr:rowOff>
    </xdr:from>
    <xdr:to>
      <xdr:col>1</xdr:col>
      <xdr:colOff>384808</xdr:colOff>
      <xdr:row>66</xdr:row>
      <xdr:rowOff>910475</xdr:rowOff>
    </xdr:to>
    <xdr:sp macro="" textlink="$C$67">
      <xdr:nvSpPr>
        <xdr:cNvPr id="15" name="TextBox 14">
          <a:extLst>
            <a:ext uri="{FF2B5EF4-FFF2-40B4-BE49-F238E27FC236}">
              <a16:creationId xmlns:a16="http://schemas.microsoft.com/office/drawing/2014/main" id="{00000000-0008-0000-0300-00000F000000}"/>
            </a:ext>
          </a:extLst>
        </xdr:cNvPr>
        <xdr:cNvSpPr txBox="1"/>
      </xdr:nvSpPr>
      <xdr:spPr>
        <a:xfrm>
          <a:off x="305980" y="21900784"/>
          <a:ext cx="495547"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F1170EE-81FC-46D8-B52F-3B29FF322CDD}" type="TxLink">
            <a:rPr lang="en-US" sz="900" b="0" i="0" u="none" strike="noStrike">
              <a:solidFill>
                <a:srgbClr val="0070C0"/>
              </a:solidFill>
              <a:latin typeface="Cambria"/>
            </a:rPr>
            <a:pPr algn="ctr"/>
            <a:t>0
</a:t>
          </a:fld>
          <a:endParaRPr lang="en-US" sz="800">
            <a:solidFill>
              <a:sysClr val="windowText" lastClr="000000"/>
            </a:solidFill>
          </a:endParaRPr>
        </a:p>
      </xdr:txBody>
    </xdr:sp>
    <xdr:clientData/>
  </xdr:twoCellAnchor>
  <xdr:twoCellAnchor>
    <xdr:from>
      <xdr:col>0</xdr:col>
      <xdr:colOff>130471</xdr:colOff>
      <xdr:row>67</xdr:row>
      <xdr:rowOff>4757</xdr:rowOff>
    </xdr:from>
    <xdr:to>
      <xdr:col>1</xdr:col>
      <xdr:colOff>214077</xdr:colOff>
      <xdr:row>67</xdr:row>
      <xdr:rowOff>136136</xdr:rowOff>
    </xdr:to>
    <xdr:sp macro="" textlink="$C$68">
      <xdr:nvSpPr>
        <xdr:cNvPr id="17" name="TextBox 16">
          <a:extLst>
            <a:ext uri="{FF2B5EF4-FFF2-40B4-BE49-F238E27FC236}">
              <a16:creationId xmlns:a16="http://schemas.microsoft.com/office/drawing/2014/main" id="{00000000-0008-0000-0300-000011000000}"/>
            </a:ext>
          </a:extLst>
        </xdr:cNvPr>
        <xdr:cNvSpPr txBox="1"/>
      </xdr:nvSpPr>
      <xdr:spPr>
        <a:xfrm>
          <a:off x="130471" y="18723453"/>
          <a:ext cx="506019"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17AC702-74BE-4181-BAFA-A79739D6AB6B}"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1276501</xdr:colOff>
      <xdr:row>21</xdr:row>
      <xdr:rowOff>451332</xdr:rowOff>
    </xdr:from>
    <xdr:to>
      <xdr:col>1</xdr:col>
      <xdr:colOff>1775743</xdr:colOff>
      <xdr:row>21</xdr:row>
      <xdr:rowOff>576799</xdr:rowOff>
    </xdr:to>
    <xdr:sp macro="" textlink="$C$22">
      <xdr:nvSpPr>
        <xdr:cNvPr id="18" name="TextBox 17">
          <a:extLst>
            <a:ext uri="{FF2B5EF4-FFF2-40B4-BE49-F238E27FC236}">
              <a16:creationId xmlns:a16="http://schemas.microsoft.com/office/drawing/2014/main" id="{00000000-0008-0000-0300-000012000000}"/>
            </a:ext>
          </a:extLst>
        </xdr:cNvPr>
        <xdr:cNvSpPr txBox="1"/>
      </xdr:nvSpPr>
      <xdr:spPr>
        <a:xfrm>
          <a:off x="1698914" y="6472789"/>
          <a:ext cx="499242" cy="12546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13064EA-B5C3-4393-84CB-FDC122CE58DF}"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1948567</xdr:colOff>
      <xdr:row>31</xdr:row>
      <xdr:rowOff>149687</xdr:rowOff>
    </xdr:from>
    <xdr:to>
      <xdr:col>1</xdr:col>
      <xdr:colOff>2447809</xdr:colOff>
      <xdr:row>32</xdr:row>
      <xdr:rowOff>100069</xdr:rowOff>
    </xdr:to>
    <xdr:sp macro="" textlink="$C$33">
      <xdr:nvSpPr>
        <xdr:cNvPr id="23" name="TextBox 22">
          <a:extLst>
            <a:ext uri="{FF2B5EF4-FFF2-40B4-BE49-F238E27FC236}">
              <a16:creationId xmlns:a16="http://schemas.microsoft.com/office/drawing/2014/main" id="{00000000-0008-0000-0300-000017000000}"/>
            </a:ext>
          </a:extLst>
        </xdr:cNvPr>
        <xdr:cNvSpPr txBox="1"/>
      </xdr:nvSpPr>
      <xdr:spPr>
        <a:xfrm>
          <a:off x="2370980" y="9012078"/>
          <a:ext cx="499242" cy="12431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7532452-04A8-42E1-B160-7FF0DC669AC1}"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28</xdr:row>
          <xdr:rowOff>9525</xdr:rowOff>
        </xdr:from>
        <xdr:to>
          <xdr:col>3</xdr:col>
          <xdr:colOff>38100</xdr:colOff>
          <xdr:row>28</xdr:row>
          <xdr:rowOff>180975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1075783</xdr:colOff>
      <xdr:row>34</xdr:row>
      <xdr:rowOff>53768</xdr:rowOff>
    </xdr:from>
    <xdr:to>
      <xdr:col>1</xdr:col>
      <xdr:colOff>1575025</xdr:colOff>
      <xdr:row>34</xdr:row>
      <xdr:rowOff>180122</xdr:rowOff>
    </xdr:to>
    <xdr:sp macro="" textlink="$C$35">
      <xdr:nvSpPr>
        <xdr:cNvPr id="27" name="TextBox 26">
          <a:extLst>
            <a:ext uri="{FF2B5EF4-FFF2-40B4-BE49-F238E27FC236}">
              <a16:creationId xmlns:a16="http://schemas.microsoft.com/office/drawing/2014/main" id="{00000000-0008-0000-0300-00001B000000}"/>
            </a:ext>
          </a:extLst>
        </xdr:cNvPr>
        <xdr:cNvSpPr txBox="1"/>
      </xdr:nvSpPr>
      <xdr:spPr>
        <a:xfrm>
          <a:off x="1498196" y="9462811"/>
          <a:ext cx="499242" cy="126354"/>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456115BE-D514-46E7-904C-1542CB70EBBF}"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1263175</xdr:colOff>
      <xdr:row>34</xdr:row>
      <xdr:rowOff>196400</xdr:rowOff>
    </xdr:from>
    <xdr:to>
      <xdr:col>1</xdr:col>
      <xdr:colOff>1762417</xdr:colOff>
      <xdr:row>35</xdr:row>
      <xdr:rowOff>118646</xdr:rowOff>
    </xdr:to>
    <xdr:sp macro="" textlink="$C$36">
      <xdr:nvSpPr>
        <xdr:cNvPr id="28" name="TextBox 27">
          <a:extLst>
            <a:ext uri="{FF2B5EF4-FFF2-40B4-BE49-F238E27FC236}">
              <a16:creationId xmlns:a16="http://schemas.microsoft.com/office/drawing/2014/main" id="{00000000-0008-0000-0300-00001C000000}"/>
            </a:ext>
          </a:extLst>
        </xdr:cNvPr>
        <xdr:cNvSpPr txBox="1"/>
      </xdr:nvSpPr>
      <xdr:spPr>
        <a:xfrm>
          <a:off x="1685588" y="9605443"/>
          <a:ext cx="499242" cy="12102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99A80DF-B35F-4BF5-9F07-3852454F046E}"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37</xdr:row>
          <xdr:rowOff>9525</xdr:rowOff>
        </xdr:from>
        <xdr:to>
          <xdr:col>2</xdr:col>
          <xdr:colOff>485775</xdr:colOff>
          <xdr:row>37</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152400</xdr:rowOff>
        </xdr:from>
        <xdr:to>
          <xdr:col>2</xdr:col>
          <xdr:colOff>485775</xdr:colOff>
          <xdr:row>37</xdr:row>
          <xdr:rowOff>323850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1269310</xdr:colOff>
      <xdr:row>39</xdr:row>
      <xdr:rowOff>71438</xdr:rowOff>
    </xdr:from>
    <xdr:to>
      <xdr:col>1</xdr:col>
      <xdr:colOff>1768552</xdr:colOff>
      <xdr:row>39</xdr:row>
      <xdr:rowOff>196090</xdr:rowOff>
    </xdr:to>
    <xdr:sp macro="" textlink="$C$40">
      <xdr:nvSpPr>
        <xdr:cNvPr id="34" name="TextBox 33">
          <a:extLst>
            <a:ext uri="{FF2B5EF4-FFF2-40B4-BE49-F238E27FC236}">
              <a16:creationId xmlns:a16="http://schemas.microsoft.com/office/drawing/2014/main" id="{00000000-0008-0000-0300-000022000000}"/>
            </a:ext>
          </a:extLst>
        </xdr:cNvPr>
        <xdr:cNvSpPr txBox="1"/>
      </xdr:nvSpPr>
      <xdr:spPr>
        <a:xfrm>
          <a:off x="1691723" y="10780851"/>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87074847-2929-40BE-BD6B-8E6B6CA66DC4}"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41</xdr:row>
          <xdr:rowOff>9525</xdr:rowOff>
        </xdr:from>
        <xdr:to>
          <xdr:col>2</xdr:col>
          <xdr:colOff>485775</xdr:colOff>
          <xdr:row>41</xdr:row>
          <xdr:rowOff>180975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161925</xdr:rowOff>
        </xdr:from>
        <xdr:to>
          <xdr:col>2</xdr:col>
          <xdr:colOff>485775</xdr:colOff>
          <xdr:row>41</xdr:row>
          <xdr:rowOff>333375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48</xdr:row>
          <xdr:rowOff>123825</xdr:rowOff>
        </xdr:from>
        <xdr:to>
          <xdr:col>2</xdr:col>
          <xdr:colOff>485775</xdr:colOff>
          <xdr:row>50</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2045805</xdr:colOff>
      <xdr:row>46</xdr:row>
      <xdr:rowOff>30025</xdr:rowOff>
    </xdr:from>
    <xdr:to>
      <xdr:col>1</xdr:col>
      <xdr:colOff>2545047</xdr:colOff>
      <xdr:row>46</xdr:row>
      <xdr:rowOff>154677</xdr:rowOff>
    </xdr:to>
    <xdr:sp macro="" textlink="$G$46">
      <xdr:nvSpPr>
        <xdr:cNvPr id="43" name="TextBox 42">
          <a:extLst>
            <a:ext uri="{FF2B5EF4-FFF2-40B4-BE49-F238E27FC236}">
              <a16:creationId xmlns:a16="http://schemas.microsoft.com/office/drawing/2014/main" id="{00000000-0008-0000-0300-00002B000000}"/>
            </a:ext>
          </a:extLst>
        </xdr:cNvPr>
        <xdr:cNvSpPr txBox="1"/>
      </xdr:nvSpPr>
      <xdr:spPr>
        <a:xfrm>
          <a:off x="2468218" y="12503634"/>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marL="0" indent="0" algn="ctr"/>
          <a:fld id="{797DFB82-DF98-4864-8E58-22D68A345C72}" type="TxLink">
            <a:rPr lang="en-US" sz="900" b="0" i="0" u="none" strike="noStrike">
              <a:solidFill>
                <a:srgbClr val="0070C0"/>
              </a:solidFill>
              <a:latin typeface="Cambria"/>
              <a:ea typeface="+mn-ea"/>
              <a:cs typeface="+mn-cs"/>
            </a:rPr>
            <a:pPr marL="0" indent="0" algn="ctr"/>
            <a:t>0</a:t>
          </a:fld>
          <a:endParaRPr lang="en-US" sz="900" b="0" i="0" u="none" strike="noStrike">
            <a:solidFill>
              <a:srgbClr val="0070C0"/>
            </a:solidFill>
            <a:latin typeface="Cambri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52</xdr:row>
          <xdr:rowOff>0</xdr:rowOff>
        </xdr:from>
        <xdr:to>
          <xdr:col>2</xdr:col>
          <xdr:colOff>485775</xdr:colOff>
          <xdr:row>52</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2204208</xdr:colOff>
      <xdr:row>54</xdr:row>
      <xdr:rowOff>22260</xdr:rowOff>
    </xdr:from>
    <xdr:to>
      <xdr:col>1</xdr:col>
      <xdr:colOff>2709144</xdr:colOff>
      <xdr:row>54</xdr:row>
      <xdr:rowOff>146912</xdr:rowOff>
    </xdr:to>
    <xdr:sp macro="" textlink="$C$55">
      <xdr:nvSpPr>
        <xdr:cNvPr id="45" name="TextBox 44">
          <a:extLst>
            <a:ext uri="{FF2B5EF4-FFF2-40B4-BE49-F238E27FC236}">
              <a16:creationId xmlns:a16="http://schemas.microsoft.com/office/drawing/2014/main" id="{00000000-0008-0000-0300-00002D000000}"/>
            </a:ext>
          </a:extLst>
        </xdr:cNvPr>
        <xdr:cNvSpPr txBox="1"/>
      </xdr:nvSpPr>
      <xdr:spPr>
        <a:xfrm>
          <a:off x="2626621" y="14367738"/>
          <a:ext cx="504936"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28CBFC8D-42CD-46D4-854A-16B258053C2A}"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1500187</xdr:colOff>
      <xdr:row>48</xdr:row>
      <xdr:rowOff>23814</xdr:rowOff>
    </xdr:from>
    <xdr:to>
      <xdr:col>1</xdr:col>
      <xdr:colOff>1999429</xdr:colOff>
      <xdr:row>49</xdr:row>
      <xdr:rowOff>17497</xdr:rowOff>
    </xdr:to>
    <xdr:sp macro="" textlink="$C$49">
      <xdr:nvSpPr>
        <xdr:cNvPr id="36" name="TextBox 35">
          <a:extLst>
            <a:ext uri="{FF2B5EF4-FFF2-40B4-BE49-F238E27FC236}">
              <a16:creationId xmlns:a16="http://schemas.microsoft.com/office/drawing/2014/main" id="{00000000-0008-0000-0300-000024000000}"/>
            </a:ext>
          </a:extLst>
        </xdr:cNvPr>
        <xdr:cNvSpPr txBox="1"/>
      </xdr:nvSpPr>
      <xdr:spPr>
        <a:xfrm>
          <a:off x="1916906" y="12025314"/>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02FF2A38-931C-4BFF-9BC1-28B5B46BE7F6}"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49</xdr:row>
          <xdr:rowOff>123825</xdr:rowOff>
        </xdr:from>
        <xdr:to>
          <xdr:col>2</xdr:col>
          <xdr:colOff>485775</xdr:colOff>
          <xdr:row>51</xdr:row>
          <xdr:rowOff>9525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152400</xdr:rowOff>
        </xdr:from>
        <xdr:to>
          <xdr:col>5</xdr:col>
          <xdr:colOff>152400</xdr:colOff>
          <xdr:row>10</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371475</xdr:rowOff>
        </xdr:from>
        <xdr:to>
          <xdr:col>5</xdr:col>
          <xdr:colOff>133350</xdr:colOff>
          <xdr:row>25</xdr:row>
          <xdr:rowOff>28575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1062328</xdr:colOff>
      <xdr:row>27</xdr:row>
      <xdr:rowOff>75558</xdr:rowOff>
    </xdr:from>
    <xdr:to>
      <xdr:col>1</xdr:col>
      <xdr:colOff>1561570</xdr:colOff>
      <xdr:row>28</xdr:row>
      <xdr:rowOff>8961</xdr:rowOff>
    </xdr:to>
    <xdr:sp macro="" textlink="$C$28">
      <xdr:nvSpPr>
        <xdr:cNvPr id="37" name="TextBox 36">
          <a:extLst>
            <a:ext uri="{FF2B5EF4-FFF2-40B4-BE49-F238E27FC236}">
              <a16:creationId xmlns:a16="http://schemas.microsoft.com/office/drawing/2014/main" id="{00000000-0008-0000-0300-000025000000}"/>
            </a:ext>
          </a:extLst>
        </xdr:cNvPr>
        <xdr:cNvSpPr txBox="1"/>
      </xdr:nvSpPr>
      <xdr:spPr>
        <a:xfrm>
          <a:off x="1484741" y="8209080"/>
          <a:ext cx="499242" cy="12390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C82D4C4-4AFD-4B59-A18B-99003BB8B3F5}"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1082207</xdr:colOff>
      <xdr:row>31</xdr:row>
      <xdr:rowOff>20893</xdr:rowOff>
    </xdr:from>
    <xdr:to>
      <xdr:col>1</xdr:col>
      <xdr:colOff>1581449</xdr:colOff>
      <xdr:row>31</xdr:row>
      <xdr:rowOff>144796</xdr:rowOff>
    </xdr:to>
    <xdr:sp macro="" textlink="$C$32">
      <xdr:nvSpPr>
        <xdr:cNvPr id="38" name="TextBox 37">
          <a:extLst>
            <a:ext uri="{FF2B5EF4-FFF2-40B4-BE49-F238E27FC236}">
              <a16:creationId xmlns:a16="http://schemas.microsoft.com/office/drawing/2014/main" id="{00000000-0008-0000-0300-000026000000}"/>
            </a:ext>
          </a:extLst>
        </xdr:cNvPr>
        <xdr:cNvSpPr txBox="1"/>
      </xdr:nvSpPr>
      <xdr:spPr>
        <a:xfrm>
          <a:off x="1504620" y="8883284"/>
          <a:ext cx="499242" cy="12390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45D62C5D-B0FA-4AD1-8232-F272A0F6589A}"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1046197</xdr:colOff>
      <xdr:row>44</xdr:row>
      <xdr:rowOff>37273</xdr:rowOff>
    </xdr:from>
    <xdr:to>
      <xdr:col>1</xdr:col>
      <xdr:colOff>1545439</xdr:colOff>
      <xdr:row>44</xdr:row>
      <xdr:rowOff>161925</xdr:rowOff>
    </xdr:to>
    <xdr:sp macro="" textlink="$C$45">
      <xdr:nvSpPr>
        <xdr:cNvPr id="39" name="TextBox 38">
          <a:extLst>
            <a:ext uri="{FF2B5EF4-FFF2-40B4-BE49-F238E27FC236}">
              <a16:creationId xmlns:a16="http://schemas.microsoft.com/office/drawing/2014/main" id="{00000000-0008-0000-0300-000027000000}"/>
            </a:ext>
          </a:extLst>
        </xdr:cNvPr>
        <xdr:cNvSpPr txBox="1"/>
      </xdr:nvSpPr>
      <xdr:spPr>
        <a:xfrm>
          <a:off x="1468610" y="12129882"/>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7C97B0A-C19B-49EA-8405-0C013FAC66A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604630</xdr:colOff>
      <xdr:row>45</xdr:row>
      <xdr:rowOff>41413</xdr:rowOff>
    </xdr:from>
    <xdr:to>
      <xdr:col>1</xdr:col>
      <xdr:colOff>1103872</xdr:colOff>
      <xdr:row>45</xdr:row>
      <xdr:rowOff>166065</xdr:rowOff>
    </xdr:to>
    <xdr:sp macro="" textlink="$C$46">
      <xdr:nvSpPr>
        <xdr:cNvPr id="40" name="TextBox 39">
          <a:extLst>
            <a:ext uri="{FF2B5EF4-FFF2-40B4-BE49-F238E27FC236}">
              <a16:creationId xmlns:a16="http://schemas.microsoft.com/office/drawing/2014/main" id="{00000000-0008-0000-0300-000028000000}"/>
            </a:ext>
          </a:extLst>
        </xdr:cNvPr>
        <xdr:cNvSpPr txBox="1"/>
      </xdr:nvSpPr>
      <xdr:spPr>
        <a:xfrm>
          <a:off x="1027043" y="12324522"/>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64E9B210-60CD-481E-9CC9-99A38AD85290}"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1044587</xdr:colOff>
      <xdr:row>17</xdr:row>
      <xdr:rowOff>581619</xdr:rowOff>
    </xdr:from>
    <xdr:to>
      <xdr:col>1</xdr:col>
      <xdr:colOff>1543829</xdr:colOff>
      <xdr:row>17</xdr:row>
      <xdr:rowOff>712998</xdr:rowOff>
    </xdr:to>
    <xdr:sp macro="" textlink="$C$18">
      <xdr:nvSpPr>
        <xdr:cNvPr id="41" name="TextBox 40">
          <a:extLst>
            <a:ext uri="{FF2B5EF4-FFF2-40B4-BE49-F238E27FC236}">
              <a16:creationId xmlns:a16="http://schemas.microsoft.com/office/drawing/2014/main" id="{00000000-0008-0000-0300-000029000000}"/>
            </a:ext>
          </a:extLst>
        </xdr:cNvPr>
        <xdr:cNvSpPr txBox="1"/>
      </xdr:nvSpPr>
      <xdr:spPr>
        <a:xfrm>
          <a:off x="1467000" y="557603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4DC20C89-7A14-45F1-A4F8-7B862D707096}"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604630</xdr:colOff>
      <xdr:row>18</xdr:row>
      <xdr:rowOff>41413</xdr:rowOff>
    </xdr:from>
    <xdr:to>
      <xdr:col>1</xdr:col>
      <xdr:colOff>1103872</xdr:colOff>
      <xdr:row>18</xdr:row>
      <xdr:rowOff>166065</xdr:rowOff>
    </xdr:to>
    <xdr:sp macro="" textlink="$C$19">
      <xdr:nvSpPr>
        <xdr:cNvPr id="44" name="TextBox 43">
          <a:extLst>
            <a:ext uri="{FF2B5EF4-FFF2-40B4-BE49-F238E27FC236}">
              <a16:creationId xmlns:a16="http://schemas.microsoft.com/office/drawing/2014/main" id="{00000000-0008-0000-0300-00002C000000}"/>
            </a:ext>
          </a:extLst>
        </xdr:cNvPr>
        <xdr:cNvSpPr txBox="1"/>
      </xdr:nvSpPr>
      <xdr:spPr>
        <a:xfrm>
          <a:off x="1027043" y="13252174"/>
          <a:ext cx="499242" cy="12465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19965F5-BE7C-4338-84E5-1429E15C1CCB}"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11</xdr:row>
          <xdr:rowOff>142875</xdr:rowOff>
        </xdr:from>
        <xdr:to>
          <xdr:col>2</xdr:col>
          <xdr:colOff>428625</xdr:colOff>
          <xdr:row>12</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1558222</xdr:colOff>
      <xdr:row>9</xdr:row>
      <xdr:rowOff>259802</xdr:rowOff>
    </xdr:from>
    <xdr:to>
      <xdr:col>1</xdr:col>
      <xdr:colOff>2057464</xdr:colOff>
      <xdr:row>10</xdr:row>
      <xdr:rowOff>51894</xdr:rowOff>
    </xdr:to>
    <xdr:sp macro="" textlink="$C$10">
      <xdr:nvSpPr>
        <xdr:cNvPr id="4" name="TextBox 3">
          <a:extLst>
            <a:ext uri="{FF2B5EF4-FFF2-40B4-BE49-F238E27FC236}">
              <a16:creationId xmlns:a16="http://schemas.microsoft.com/office/drawing/2014/main" id="{00000000-0008-0000-0400-000004000000}"/>
            </a:ext>
          </a:extLst>
        </xdr:cNvPr>
        <xdr:cNvSpPr txBox="1"/>
      </xdr:nvSpPr>
      <xdr:spPr>
        <a:xfrm>
          <a:off x="1977322" y="1869527"/>
          <a:ext cx="499242" cy="14451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D87FE8C-D10B-475B-AC63-9F1EDA78C631}"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1</xdr:row>
          <xdr:rowOff>123825</xdr:rowOff>
        </xdr:from>
        <xdr:to>
          <xdr:col>4</xdr:col>
          <xdr:colOff>457200</xdr:colOff>
          <xdr:row>3</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257175</xdr:rowOff>
        </xdr:from>
        <xdr:to>
          <xdr:col>2</xdr:col>
          <xdr:colOff>428625</xdr:colOff>
          <xdr:row>12</xdr:row>
          <xdr:rowOff>485775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9525</xdr:rowOff>
        </xdr:from>
        <xdr:to>
          <xdr:col>2</xdr:col>
          <xdr:colOff>428625</xdr:colOff>
          <xdr:row>14</xdr:row>
          <xdr:rowOff>238125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xdr:row>
          <xdr:rowOff>133350</xdr:rowOff>
        </xdr:from>
        <xdr:to>
          <xdr:col>2</xdr:col>
          <xdr:colOff>428625</xdr:colOff>
          <xdr:row>17</xdr:row>
          <xdr:rowOff>190500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104775</xdr:rowOff>
        </xdr:from>
        <xdr:to>
          <xdr:col>2</xdr:col>
          <xdr:colOff>428625</xdr:colOff>
          <xdr:row>17</xdr:row>
          <xdr:rowOff>333375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xdr:row>
          <xdr:rowOff>142875</xdr:rowOff>
        </xdr:from>
        <xdr:to>
          <xdr:col>2</xdr:col>
          <xdr:colOff>428625</xdr:colOff>
          <xdr:row>19</xdr:row>
          <xdr:rowOff>228600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390525</xdr:rowOff>
        </xdr:from>
        <xdr:to>
          <xdr:col>2</xdr:col>
          <xdr:colOff>428625</xdr:colOff>
          <xdr:row>19</xdr:row>
          <xdr:rowOff>628650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SG" sz="1000" b="0" i="0" u="none" strike="noStrike" baseline="0">
                  <a:solidFill>
                    <a:srgbClr val="000000"/>
                  </a:solidFill>
                  <a:latin typeface="Arial"/>
                  <a:cs typeface="Arial"/>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209550</xdr:rowOff>
        </xdr:from>
        <xdr:to>
          <xdr:col>2</xdr:col>
          <xdr:colOff>428625</xdr:colOff>
          <xdr:row>21</xdr:row>
          <xdr:rowOff>219075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xdr:row>
          <xdr:rowOff>104775</xdr:rowOff>
        </xdr:from>
        <xdr:to>
          <xdr:col>2</xdr:col>
          <xdr:colOff>428625</xdr:colOff>
          <xdr:row>21</xdr:row>
          <xdr:rowOff>342900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xdr:row>
          <xdr:rowOff>238125</xdr:rowOff>
        </xdr:from>
        <xdr:to>
          <xdr:col>2</xdr:col>
          <xdr:colOff>428625</xdr:colOff>
          <xdr:row>21</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xdr:row>
          <xdr:rowOff>371475</xdr:rowOff>
        </xdr:from>
        <xdr:to>
          <xdr:col>2</xdr:col>
          <xdr:colOff>428625</xdr:colOff>
          <xdr:row>22</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152400</xdr:rowOff>
        </xdr:from>
        <xdr:to>
          <xdr:col>2</xdr:col>
          <xdr:colOff>428625</xdr:colOff>
          <xdr:row>29</xdr:row>
          <xdr:rowOff>190500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95250</xdr:rowOff>
        </xdr:from>
        <xdr:to>
          <xdr:col>2</xdr:col>
          <xdr:colOff>428625</xdr:colOff>
          <xdr:row>29</xdr:row>
          <xdr:rowOff>333375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311099</xdr:colOff>
      <xdr:row>31</xdr:row>
      <xdr:rowOff>406201</xdr:rowOff>
    </xdr:from>
    <xdr:to>
      <xdr:col>1</xdr:col>
      <xdr:colOff>389927</xdr:colOff>
      <xdr:row>31</xdr:row>
      <xdr:rowOff>537580</xdr:rowOff>
    </xdr:to>
    <xdr:sp macro="" textlink="$C$32">
      <xdr:nvSpPr>
        <xdr:cNvPr id="23" name="TextBox 22">
          <a:extLst>
            <a:ext uri="{FF2B5EF4-FFF2-40B4-BE49-F238E27FC236}">
              <a16:creationId xmlns:a16="http://schemas.microsoft.com/office/drawing/2014/main" id="{00000000-0008-0000-0400-000017000000}"/>
            </a:ext>
          </a:extLst>
        </xdr:cNvPr>
        <xdr:cNvSpPr txBox="1"/>
      </xdr:nvSpPr>
      <xdr:spPr>
        <a:xfrm>
          <a:off x="311099" y="9150151"/>
          <a:ext cx="497928"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FC936DB8-5087-4F6F-982B-FB902B0F0543}"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1520357</xdr:colOff>
      <xdr:row>44</xdr:row>
      <xdr:rowOff>712075</xdr:rowOff>
    </xdr:from>
    <xdr:to>
      <xdr:col>1</xdr:col>
      <xdr:colOff>2019599</xdr:colOff>
      <xdr:row>44</xdr:row>
      <xdr:rowOff>843454</xdr:rowOff>
    </xdr:to>
    <xdr:sp macro="" textlink="$C$44">
      <xdr:nvSpPr>
        <xdr:cNvPr id="27" name="TextBox 26">
          <a:extLst>
            <a:ext uri="{FF2B5EF4-FFF2-40B4-BE49-F238E27FC236}">
              <a16:creationId xmlns:a16="http://schemas.microsoft.com/office/drawing/2014/main" id="{00000000-0008-0000-0400-00001B000000}"/>
            </a:ext>
          </a:extLst>
        </xdr:cNvPr>
        <xdr:cNvSpPr txBox="1"/>
      </xdr:nvSpPr>
      <xdr:spPr>
        <a:xfrm>
          <a:off x="1937891" y="1323810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86562A5A-163D-4F1E-A2B3-4B38838E9A55}"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1517552</xdr:colOff>
      <xdr:row>46</xdr:row>
      <xdr:rowOff>254635</xdr:rowOff>
    </xdr:from>
    <xdr:to>
      <xdr:col>1</xdr:col>
      <xdr:colOff>2016794</xdr:colOff>
      <xdr:row>46</xdr:row>
      <xdr:rowOff>386014</xdr:rowOff>
    </xdr:to>
    <xdr:sp macro="" textlink="$C$47">
      <xdr:nvSpPr>
        <xdr:cNvPr id="28" name="TextBox 27">
          <a:extLst>
            <a:ext uri="{FF2B5EF4-FFF2-40B4-BE49-F238E27FC236}">
              <a16:creationId xmlns:a16="http://schemas.microsoft.com/office/drawing/2014/main" id="{00000000-0008-0000-0400-00001C000000}"/>
            </a:ext>
          </a:extLst>
        </xdr:cNvPr>
        <xdr:cNvSpPr txBox="1"/>
      </xdr:nvSpPr>
      <xdr:spPr>
        <a:xfrm>
          <a:off x="1935086" y="14007169"/>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699F7A3F-5A35-4A89-8B24-8A7C9341504E}"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385663</xdr:colOff>
      <xdr:row>52</xdr:row>
      <xdr:rowOff>1610174</xdr:rowOff>
    </xdr:from>
    <xdr:to>
      <xdr:col>1</xdr:col>
      <xdr:colOff>884905</xdr:colOff>
      <xdr:row>52</xdr:row>
      <xdr:rowOff>1741553</xdr:rowOff>
    </xdr:to>
    <xdr:sp macro="" textlink="$I$53">
      <xdr:nvSpPr>
        <xdr:cNvPr id="29" name="TextBox 28">
          <a:extLst>
            <a:ext uri="{FF2B5EF4-FFF2-40B4-BE49-F238E27FC236}">
              <a16:creationId xmlns:a16="http://schemas.microsoft.com/office/drawing/2014/main" id="{00000000-0008-0000-0400-00001D000000}"/>
            </a:ext>
          </a:extLst>
        </xdr:cNvPr>
        <xdr:cNvSpPr txBox="1"/>
      </xdr:nvSpPr>
      <xdr:spPr>
        <a:xfrm>
          <a:off x="803298" y="1756821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B2FB8EA-7B4A-41B0-8F6B-4A98E818F335}" type="TxLink">
            <a:rPr lang="en-US" sz="800" b="0" i="0" u="none" strike="noStrike">
              <a:solidFill>
                <a:srgbClr val="000000"/>
              </a:solidFill>
              <a:latin typeface="Cambria"/>
            </a:rPr>
            <a:pPr algn="ctr"/>
            <a:t>0</a:t>
          </a:fld>
          <a:endParaRPr lang="en-US" sz="800">
            <a:solidFill>
              <a:sysClr val="windowText" lastClr="000000"/>
            </a:solidFill>
          </a:endParaRPr>
        </a:p>
      </xdr:txBody>
    </xdr:sp>
    <xdr:clientData/>
  </xdr:twoCellAnchor>
  <xdr:twoCellAnchor>
    <xdr:from>
      <xdr:col>1</xdr:col>
      <xdr:colOff>784513</xdr:colOff>
      <xdr:row>62</xdr:row>
      <xdr:rowOff>675532</xdr:rowOff>
    </xdr:from>
    <xdr:to>
      <xdr:col>1</xdr:col>
      <xdr:colOff>1283755</xdr:colOff>
      <xdr:row>62</xdr:row>
      <xdr:rowOff>806911</xdr:rowOff>
    </xdr:to>
    <xdr:sp macro="" textlink="$C$63">
      <xdr:nvSpPr>
        <xdr:cNvPr id="30" name="TextBox 29">
          <a:extLst>
            <a:ext uri="{FF2B5EF4-FFF2-40B4-BE49-F238E27FC236}">
              <a16:creationId xmlns:a16="http://schemas.microsoft.com/office/drawing/2014/main" id="{00000000-0008-0000-0400-00001E000000}"/>
            </a:ext>
          </a:extLst>
        </xdr:cNvPr>
        <xdr:cNvSpPr txBox="1"/>
      </xdr:nvSpPr>
      <xdr:spPr>
        <a:xfrm>
          <a:off x="1202148" y="19718205"/>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46364EC7-E706-4852-9E45-B2EC2E6D0AB2}"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1335047</xdr:colOff>
      <xdr:row>65</xdr:row>
      <xdr:rowOff>118034</xdr:rowOff>
    </xdr:from>
    <xdr:to>
      <xdr:col>1</xdr:col>
      <xdr:colOff>1834289</xdr:colOff>
      <xdr:row>65</xdr:row>
      <xdr:rowOff>245676</xdr:rowOff>
    </xdr:to>
    <xdr:sp macro="" textlink="$C$65">
      <xdr:nvSpPr>
        <xdr:cNvPr id="31" name="TextBox 30">
          <a:extLst>
            <a:ext uri="{FF2B5EF4-FFF2-40B4-BE49-F238E27FC236}">
              <a16:creationId xmlns:a16="http://schemas.microsoft.com/office/drawing/2014/main" id="{00000000-0008-0000-0400-00001F000000}"/>
            </a:ext>
          </a:extLst>
        </xdr:cNvPr>
        <xdr:cNvSpPr txBox="1"/>
      </xdr:nvSpPr>
      <xdr:spPr>
        <a:xfrm>
          <a:off x="1754147" y="21434984"/>
          <a:ext cx="499242" cy="12764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305ABED-3383-4313-AA14-7B3A25F15CA2}"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428625</xdr:colOff>
          <xdr:row>70</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72</xdr:row>
          <xdr:rowOff>171450</xdr:rowOff>
        </xdr:from>
        <xdr:to>
          <xdr:col>2</xdr:col>
          <xdr:colOff>428625</xdr:colOff>
          <xdr:row>73</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73</xdr:row>
          <xdr:rowOff>200025</xdr:rowOff>
        </xdr:from>
        <xdr:to>
          <xdr:col>2</xdr:col>
          <xdr:colOff>428625</xdr:colOff>
          <xdr:row>73</xdr:row>
          <xdr:rowOff>428625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73</xdr:row>
          <xdr:rowOff>342900</xdr:rowOff>
        </xdr:from>
        <xdr:to>
          <xdr:col>2</xdr:col>
          <xdr:colOff>428625</xdr:colOff>
          <xdr:row>73</xdr:row>
          <xdr:rowOff>571500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48</xdr:row>
          <xdr:rowOff>76200</xdr:rowOff>
        </xdr:from>
        <xdr:to>
          <xdr:col>2</xdr:col>
          <xdr:colOff>428625</xdr:colOff>
          <xdr:row>48</xdr:row>
          <xdr:rowOff>314325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44</xdr:row>
          <xdr:rowOff>238125</xdr:rowOff>
        </xdr:from>
        <xdr:to>
          <xdr:col>2</xdr:col>
          <xdr:colOff>428625</xdr:colOff>
          <xdr:row>44</xdr:row>
          <xdr:rowOff>466725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1567577</xdr:colOff>
      <xdr:row>10</xdr:row>
      <xdr:rowOff>326382</xdr:rowOff>
    </xdr:from>
    <xdr:to>
      <xdr:col>1</xdr:col>
      <xdr:colOff>2066819</xdr:colOff>
      <xdr:row>10</xdr:row>
      <xdr:rowOff>464659</xdr:rowOff>
    </xdr:to>
    <xdr:sp macro="" textlink="$C$11">
      <xdr:nvSpPr>
        <xdr:cNvPr id="37" name="TextBox 36">
          <a:extLst>
            <a:ext uri="{FF2B5EF4-FFF2-40B4-BE49-F238E27FC236}">
              <a16:creationId xmlns:a16="http://schemas.microsoft.com/office/drawing/2014/main" id="{00000000-0008-0000-0400-000025000000}"/>
            </a:ext>
          </a:extLst>
        </xdr:cNvPr>
        <xdr:cNvSpPr txBox="1"/>
      </xdr:nvSpPr>
      <xdr:spPr>
        <a:xfrm>
          <a:off x="1986677" y="2288532"/>
          <a:ext cx="499242" cy="13827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2F14FCE-971B-43F9-B06B-82717CC12F4E}"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1510694</xdr:colOff>
      <xdr:row>32</xdr:row>
      <xdr:rowOff>49413</xdr:rowOff>
    </xdr:from>
    <xdr:to>
      <xdr:col>1</xdr:col>
      <xdr:colOff>2009936</xdr:colOff>
      <xdr:row>32</xdr:row>
      <xdr:rowOff>171574</xdr:rowOff>
    </xdr:to>
    <xdr:sp macro="" textlink="$C$33">
      <xdr:nvSpPr>
        <xdr:cNvPr id="38" name="TextBox 37">
          <a:extLst>
            <a:ext uri="{FF2B5EF4-FFF2-40B4-BE49-F238E27FC236}">
              <a16:creationId xmlns:a16="http://schemas.microsoft.com/office/drawing/2014/main" id="{00000000-0008-0000-0400-000026000000}"/>
            </a:ext>
          </a:extLst>
        </xdr:cNvPr>
        <xdr:cNvSpPr txBox="1"/>
      </xdr:nvSpPr>
      <xdr:spPr>
        <a:xfrm>
          <a:off x="1929794" y="9298188"/>
          <a:ext cx="499242" cy="122161"/>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57EF74FF-844E-43C9-95D3-FAE360406293}"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1333706</xdr:colOff>
      <xdr:row>65</xdr:row>
      <xdr:rowOff>273619</xdr:rowOff>
    </xdr:from>
    <xdr:to>
      <xdr:col>1</xdr:col>
      <xdr:colOff>1832948</xdr:colOff>
      <xdr:row>65</xdr:row>
      <xdr:rowOff>403040</xdr:rowOff>
    </xdr:to>
    <xdr:sp macro="" textlink="$C$66">
      <xdr:nvSpPr>
        <xdr:cNvPr id="40" name="TextBox 39">
          <a:extLst>
            <a:ext uri="{FF2B5EF4-FFF2-40B4-BE49-F238E27FC236}">
              <a16:creationId xmlns:a16="http://schemas.microsoft.com/office/drawing/2014/main" id="{00000000-0008-0000-0400-000028000000}"/>
            </a:ext>
          </a:extLst>
        </xdr:cNvPr>
        <xdr:cNvSpPr txBox="1"/>
      </xdr:nvSpPr>
      <xdr:spPr>
        <a:xfrm>
          <a:off x="1752806" y="21590569"/>
          <a:ext cx="499242" cy="129421"/>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DC08D98-2C4D-4DEC-8727-BDD66DAAE3D7}"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1335380</xdr:colOff>
      <xdr:row>65</xdr:row>
      <xdr:rowOff>423403</xdr:rowOff>
    </xdr:from>
    <xdr:to>
      <xdr:col>1</xdr:col>
      <xdr:colOff>1834622</xdr:colOff>
      <xdr:row>66</xdr:row>
      <xdr:rowOff>125168</xdr:rowOff>
    </xdr:to>
    <xdr:sp macro="" textlink="$C$67">
      <xdr:nvSpPr>
        <xdr:cNvPr id="41" name="TextBox 40">
          <a:extLst>
            <a:ext uri="{FF2B5EF4-FFF2-40B4-BE49-F238E27FC236}">
              <a16:creationId xmlns:a16="http://schemas.microsoft.com/office/drawing/2014/main" id="{00000000-0008-0000-0400-000029000000}"/>
            </a:ext>
          </a:extLst>
        </xdr:cNvPr>
        <xdr:cNvSpPr txBox="1"/>
      </xdr:nvSpPr>
      <xdr:spPr>
        <a:xfrm>
          <a:off x="1754480" y="21740353"/>
          <a:ext cx="499242" cy="130390"/>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D1DF7930-8587-4F9F-8B95-A67B4702E6D5}"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33</xdr:row>
          <xdr:rowOff>371475</xdr:rowOff>
        </xdr:from>
        <xdr:to>
          <xdr:col>2</xdr:col>
          <xdr:colOff>428625</xdr:colOff>
          <xdr:row>35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266700</xdr:rowOff>
        </xdr:from>
        <xdr:to>
          <xdr:col>2</xdr:col>
          <xdr:colOff>428625</xdr:colOff>
          <xdr:row>14</xdr:row>
          <xdr:rowOff>495300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481302</xdr:colOff>
      <xdr:row>36</xdr:row>
      <xdr:rowOff>267811</xdr:rowOff>
    </xdr:from>
    <xdr:to>
      <xdr:col>1</xdr:col>
      <xdr:colOff>1217026</xdr:colOff>
      <xdr:row>36</xdr:row>
      <xdr:rowOff>399190</xdr:rowOff>
    </xdr:to>
    <xdr:sp macro="" textlink="$C$37">
      <xdr:nvSpPr>
        <xdr:cNvPr id="42" name="TextBox 41">
          <a:extLst>
            <a:ext uri="{FF2B5EF4-FFF2-40B4-BE49-F238E27FC236}">
              <a16:creationId xmlns:a16="http://schemas.microsoft.com/office/drawing/2014/main" id="{00000000-0008-0000-0400-00002A000000}"/>
            </a:ext>
          </a:extLst>
        </xdr:cNvPr>
        <xdr:cNvSpPr txBox="1"/>
      </xdr:nvSpPr>
      <xdr:spPr>
        <a:xfrm>
          <a:off x="898937" y="11346119"/>
          <a:ext cx="735724"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0C073E5-1421-433E-82F7-B492CD266EC6}" type="TxLink">
            <a:rPr lang="en-US" sz="900" b="0" i="0" u="none" strike="noStrike">
              <a:solidFill>
                <a:srgbClr val="0070C0"/>
              </a:solidFill>
              <a:latin typeface="Cambria"/>
            </a:rPr>
            <a:pPr algn="ctr"/>
            <a:t>NA</a:t>
          </a:fld>
          <a:endParaRPr lang="en-US" sz="800">
            <a:solidFill>
              <a:sysClr val="windowText" lastClr="000000"/>
            </a:solidFill>
          </a:endParaRPr>
        </a:p>
      </xdr:txBody>
    </xdr:sp>
    <xdr:clientData/>
  </xdr:twoCellAnchor>
  <xdr:twoCellAnchor>
    <xdr:from>
      <xdr:col>1</xdr:col>
      <xdr:colOff>1729962</xdr:colOff>
      <xdr:row>37</xdr:row>
      <xdr:rowOff>605660</xdr:rowOff>
    </xdr:from>
    <xdr:to>
      <xdr:col>1</xdr:col>
      <xdr:colOff>2229204</xdr:colOff>
      <xdr:row>37</xdr:row>
      <xdr:rowOff>737039</xdr:rowOff>
    </xdr:to>
    <xdr:sp macro="" textlink="#REF!">
      <xdr:nvSpPr>
        <xdr:cNvPr id="43" name="TextBox 42">
          <a:extLst>
            <a:ext uri="{FF2B5EF4-FFF2-40B4-BE49-F238E27FC236}">
              <a16:creationId xmlns:a16="http://schemas.microsoft.com/office/drawing/2014/main" id="{00000000-0008-0000-0400-00002B000000}"/>
            </a:ext>
          </a:extLst>
        </xdr:cNvPr>
        <xdr:cNvSpPr txBox="1"/>
      </xdr:nvSpPr>
      <xdr:spPr>
        <a:xfrm>
          <a:off x="2147597" y="11947737"/>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F12392D-5B4A-4B63-822C-050829E36ED6}" type="TxLink">
            <a:rPr lang="en-US" sz="900" b="0" i="0" u="none" strike="noStrike">
              <a:solidFill>
                <a:srgbClr val="0070C0"/>
              </a:solidFill>
              <a:latin typeface="Cambria"/>
            </a:rPr>
            <a:pPr algn="ctr"/>
            <a:t> </a:t>
          </a:fld>
          <a:endParaRPr lang="en-US" sz="800">
            <a:solidFill>
              <a:sysClr val="windowText" lastClr="000000"/>
            </a:solidFill>
          </a:endParaRPr>
        </a:p>
      </xdr:txBody>
    </xdr:sp>
    <xdr:clientData/>
  </xdr:twoCellAnchor>
  <xdr:twoCellAnchor>
    <xdr:from>
      <xdr:col>1</xdr:col>
      <xdr:colOff>1611266</xdr:colOff>
      <xdr:row>38</xdr:row>
      <xdr:rowOff>25367</xdr:rowOff>
    </xdr:from>
    <xdr:to>
      <xdr:col>1</xdr:col>
      <xdr:colOff>2110508</xdr:colOff>
      <xdr:row>38</xdr:row>
      <xdr:rowOff>156746</xdr:rowOff>
    </xdr:to>
    <xdr:sp macro="" textlink="#REF!">
      <xdr:nvSpPr>
        <xdr:cNvPr id="44" name="TextBox 43">
          <a:extLst>
            <a:ext uri="{FF2B5EF4-FFF2-40B4-BE49-F238E27FC236}">
              <a16:creationId xmlns:a16="http://schemas.microsoft.com/office/drawing/2014/main" id="{00000000-0008-0000-0400-00002C000000}"/>
            </a:ext>
          </a:extLst>
        </xdr:cNvPr>
        <xdr:cNvSpPr txBox="1"/>
      </xdr:nvSpPr>
      <xdr:spPr>
        <a:xfrm>
          <a:off x="2028901" y="12136771"/>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F12392D-5B4A-4B63-822C-050829E36ED6}" type="TxLink">
            <a:rPr lang="en-US" sz="900" b="0" i="0" u="none" strike="noStrike">
              <a:solidFill>
                <a:srgbClr val="0070C0"/>
              </a:solidFill>
              <a:latin typeface="Cambria"/>
            </a:rPr>
            <a:pPr algn="ctr"/>
            <a:t> </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54</xdr:row>
          <xdr:rowOff>161925</xdr:rowOff>
        </xdr:from>
        <xdr:to>
          <xdr:col>2</xdr:col>
          <xdr:colOff>352425</xdr:colOff>
          <xdr:row>56</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21601</xdr:colOff>
      <xdr:row>54</xdr:row>
      <xdr:rowOff>12983</xdr:rowOff>
    </xdr:from>
    <xdr:to>
      <xdr:col>1</xdr:col>
      <xdr:colOff>2901461</xdr:colOff>
      <xdr:row>54</xdr:row>
      <xdr:rowOff>175846</xdr:rowOff>
    </xdr:to>
    <xdr:sp macro="" textlink="$K$54">
      <xdr:nvSpPr>
        <xdr:cNvPr id="45" name="TextBox 44">
          <a:extLst>
            <a:ext uri="{FF2B5EF4-FFF2-40B4-BE49-F238E27FC236}">
              <a16:creationId xmlns:a16="http://schemas.microsoft.com/office/drawing/2014/main" id="{00000000-0008-0000-0400-00002D000000}"/>
            </a:ext>
          </a:extLst>
        </xdr:cNvPr>
        <xdr:cNvSpPr txBox="1"/>
      </xdr:nvSpPr>
      <xdr:spPr>
        <a:xfrm>
          <a:off x="440701" y="18120008"/>
          <a:ext cx="2879860" cy="16286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59D5B28A-1548-48E1-BE14-43CEBC7E123F}" type="TxLink">
            <a:rPr lang="en-US" sz="800" b="0" i="0" u="none" strike="noStrike">
              <a:solidFill>
                <a:srgbClr val="000000"/>
              </a:solidFill>
              <a:latin typeface="Cambria"/>
            </a:rPr>
            <a:pPr algn="ctr"/>
            <a:t>Scoring based on total point keyed above</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266700</xdr:colOff>
          <xdr:row>54</xdr:row>
          <xdr:rowOff>161925</xdr:rowOff>
        </xdr:from>
        <xdr:to>
          <xdr:col>3</xdr:col>
          <xdr:colOff>66675</xdr:colOff>
          <xdr:row>56</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955697</xdr:colOff>
      <xdr:row>52</xdr:row>
      <xdr:rowOff>1597270</xdr:rowOff>
    </xdr:from>
    <xdr:to>
      <xdr:col>1</xdr:col>
      <xdr:colOff>2901461</xdr:colOff>
      <xdr:row>52</xdr:row>
      <xdr:rowOff>1831731</xdr:rowOff>
    </xdr:to>
    <xdr:sp macro="" textlink="$G$53">
      <xdr:nvSpPr>
        <xdr:cNvPr id="48" name="TextBox 47">
          <a:extLst>
            <a:ext uri="{FF2B5EF4-FFF2-40B4-BE49-F238E27FC236}">
              <a16:creationId xmlns:a16="http://schemas.microsoft.com/office/drawing/2014/main" id="{00000000-0008-0000-0400-000030000000}"/>
            </a:ext>
          </a:extLst>
        </xdr:cNvPr>
        <xdr:cNvSpPr txBox="1"/>
      </xdr:nvSpPr>
      <xdr:spPr>
        <a:xfrm>
          <a:off x="1373332" y="17555308"/>
          <a:ext cx="1945764" cy="23446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5B3AE443-7595-49D3-9A4A-FABBB01E14CB}" type="TxLink">
            <a:rPr lang="en-US" sz="700" b="0" i="0" u="none" strike="noStrike">
              <a:solidFill>
                <a:srgbClr val="FF0000"/>
              </a:solidFill>
              <a:latin typeface="Cambria"/>
            </a:rPr>
            <a:pPr algn="ctr"/>
            <a:t> </a:t>
          </a:fld>
          <a:endParaRPr lang="en-US" sz="7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55</xdr:row>
          <xdr:rowOff>161925</xdr:rowOff>
        </xdr:from>
        <xdr:to>
          <xdr:col>2</xdr:col>
          <xdr:colOff>352425</xdr:colOff>
          <xdr:row>57</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55</xdr:row>
          <xdr:rowOff>152400</xdr:rowOff>
        </xdr:from>
        <xdr:to>
          <xdr:col>3</xdr:col>
          <xdr:colOff>66675</xdr:colOff>
          <xdr:row>57</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56</xdr:row>
          <xdr:rowOff>161925</xdr:rowOff>
        </xdr:from>
        <xdr:to>
          <xdr:col>2</xdr:col>
          <xdr:colOff>352425</xdr:colOff>
          <xdr:row>58</xdr:row>
          <xdr:rowOff>19050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56</xdr:row>
          <xdr:rowOff>161925</xdr:rowOff>
        </xdr:from>
        <xdr:to>
          <xdr:col>3</xdr:col>
          <xdr:colOff>66675</xdr:colOff>
          <xdr:row>58</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161925</xdr:rowOff>
        </xdr:from>
        <xdr:to>
          <xdr:col>2</xdr:col>
          <xdr:colOff>352425</xdr:colOff>
          <xdr:row>59</xdr:row>
          <xdr:rowOff>19050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57</xdr:row>
          <xdr:rowOff>171450</xdr:rowOff>
        </xdr:from>
        <xdr:to>
          <xdr:col>3</xdr:col>
          <xdr:colOff>66675</xdr:colOff>
          <xdr:row>59</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161925</xdr:rowOff>
        </xdr:from>
        <xdr:to>
          <xdr:col>2</xdr:col>
          <xdr:colOff>352425</xdr:colOff>
          <xdr:row>60</xdr:row>
          <xdr:rowOff>19050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58</xdr:row>
          <xdr:rowOff>171450</xdr:rowOff>
        </xdr:from>
        <xdr:to>
          <xdr:col>3</xdr:col>
          <xdr:colOff>66675</xdr:colOff>
          <xdr:row>60</xdr:row>
          <xdr:rowOff>28575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xdr:row>
          <xdr:rowOff>152400</xdr:rowOff>
        </xdr:from>
        <xdr:to>
          <xdr:col>2</xdr:col>
          <xdr:colOff>352425</xdr:colOff>
          <xdr:row>61</xdr:row>
          <xdr:rowOff>9525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59</xdr:row>
          <xdr:rowOff>161925</xdr:rowOff>
        </xdr:from>
        <xdr:to>
          <xdr:col>3</xdr:col>
          <xdr:colOff>66675</xdr:colOff>
          <xdr:row>61</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219808</xdr:colOff>
      <xdr:row>55</xdr:row>
      <xdr:rowOff>1</xdr:rowOff>
    </xdr:from>
    <xdr:to>
      <xdr:col>1</xdr:col>
      <xdr:colOff>1560634</xdr:colOff>
      <xdr:row>55</xdr:row>
      <xdr:rowOff>161192</xdr:rowOff>
    </xdr:to>
    <xdr:sp macro="" textlink="$O$56">
      <xdr:nvSpPr>
        <xdr:cNvPr id="59" name="TextBox 58">
          <a:extLst>
            <a:ext uri="{FF2B5EF4-FFF2-40B4-BE49-F238E27FC236}">
              <a16:creationId xmlns:a16="http://schemas.microsoft.com/office/drawing/2014/main" id="{00000000-0008-0000-0400-00003B000000}"/>
            </a:ext>
          </a:extLst>
        </xdr:cNvPr>
        <xdr:cNvSpPr txBox="1"/>
      </xdr:nvSpPr>
      <xdr:spPr>
        <a:xfrm>
          <a:off x="637443" y="18302655"/>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4F0A10B5-8D8A-4CD1-9963-A6D753FE861A}"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xdr:twoCellAnchor>
    <xdr:from>
      <xdr:col>1</xdr:col>
      <xdr:colOff>219808</xdr:colOff>
      <xdr:row>56</xdr:row>
      <xdr:rowOff>7327</xdr:rowOff>
    </xdr:from>
    <xdr:to>
      <xdr:col>1</xdr:col>
      <xdr:colOff>1560634</xdr:colOff>
      <xdr:row>56</xdr:row>
      <xdr:rowOff>168518</xdr:rowOff>
    </xdr:to>
    <xdr:sp macro="" textlink="$O$57">
      <xdr:nvSpPr>
        <xdr:cNvPr id="60" name="TextBox 59">
          <a:extLst>
            <a:ext uri="{FF2B5EF4-FFF2-40B4-BE49-F238E27FC236}">
              <a16:creationId xmlns:a16="http://schemas.microsoft.com/office/drawing/2014/main" id="{00000000-0008-0000-0400-00003C000000}"/>
            </a:ext>
          </a:extLst>
        </xdr:cNvPr>
        <xdr:cNvSpPr txBox="1"/>
      </xdr:nvSpPr>
      <xdr:spPr>
        <a:xfrm>
          <a:off x="637443" y="18500481"/>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70A62C71-9BDC-48B8-BCBD-771DFBADCC26}"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xdr:twoCellAnchor>
    <xdr:from>
      <xdr:col>1</xdr:col>
      <xdr:colOff>248382</xdr:colOff>
      <xdr:row>57</xdr:row>
      <xdr:rowOff>0</xdr:rowOff>
    </xdr:from>
    <xdr:to>
      <xdr:col>1</xdr:col>
      <xdr:colOff>1589208</xdr:colOff>
      <xdr:row>57</xdr:row>
      <xdr:rowOff>161191</xdr:rowOff>
    </xdr:to>
    <xdr:sp macro="" textlink="$O$58">
      <xdr:nvSpPr>
        <xdr:cNvPr id="62" name="TextBox 61">
          <a:extLst>
            <a:ext uri="{FF2B5EF4-FFF2-40B4-BE49-F238E27FC236}">
              <a16:creationId xmlns:a16="http://schemas.microsoft.com/office/drawing/2014/main" id="{00000000-0008-0000-0400-00003E000000}"/>
            </a:ext>
          </a:extLst>
        </xdr:cNvPr>
        <xdr:cNvSpPr txBox="1"/>
      </xdr:nvSpPr>
      <xdr:spPr>
        <a:xfrm>
          <a:off x="667482" y="18678525"/>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C85343D9-6F99-4FE1-9484-BBC2B0AF1355}"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xdr:twoCellAnchor>
    <xdr:from>
      <xdr:col>1</xdr:col>
      <xdr:colOff>219807</xdr:colOff>
      <xdr:row>58</xdr:row>
      <xdr:rowOff>7326</xdr:rowOff>
    </xdr:from>
    <xdr:to>
      <xdr:col>1</xdr:col>
      <xdr:colOff>1560633</xdr:colOff>
      <xdr:row>58</xdr:row>
      <xdr:rowOff>168517</xdr:rowOff>
    </xdr:to>
    <xdr:sp macro="" textlink="$O$59">
      <xdr:nvSpPr>
        <xdr:cNvPr id="63" name="TextBox 62">
          <a:extLst>
            <a:ext uri="{FF2B5EF4-FFF2-40B4-BE49-F238E27FC236}">
              <a16:creationId xmlns:a16="http://schemas.microsoft.com/office/drawing/2014/main" id="{00000000-0008-0000-0400-00003F000000}"/>
            </a:ext>
          </a:extLst>
        </xdr:cNvPr>
        <xdr:cNvSpPr txBox="1"/>
      </xdr:nvSpPr>
      <xdr:spPr>
        <a:xfrm>
          <a:off x="637442" y="18881480"/>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2B76BABC-2AA8-477C-91C7-CC42E5A041E4}"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xdr:twoCellAnchor>
    <xdr:from>
      <xdr:col>1</xdr:col>
      <xdr:colOff>219808</xdr:colOff>
      <xdr:row>59</xdr:row>
      <xdr:rowOff>0</xdr:rowOff>
    </xdr:from>
    <xdr:to>
      <xdr:col>1</xdr:col>
      <xdr:colOff>1560634</xdr:colOff>
      <xdr:row>59</xdr:row>
      <xdr:rowOff>161191</xdr:rowOff>
    </xdr:to>
    <xdr:sp macro="" textlink="$O$60">
      <xdr:nvSpPr>
        <xdr:cNvPr id="64" name="TextBox 63">
          <a:extLst>
            <a:ext uri="{FF2B5EF4-FFF2-40B4-BE49-F238E27FC236}">
              <a16:creationId xmlns:a16="http://schemas.microsoft.com/office/drawing/2014/main" id="{00000000-0008-0000-0400-000040000000}"/>
            </a:ext>
          </a:extLst>
        </xdr:cNvPr>
        <xdr:cNvSpPr txBox="1"/>
      </xdr:nvSpPr>
      <xdr:spPr>
        <a:xfrm>
          <a:off x="637443" y="19064654"/>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BB57DFD4-A0EF-45A5-BC35-18B00C818E58}"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xdr:twoCellAnchor>
    <xdr:from>
      <xdr:col>1</xdr:col>
      <xdr:colOff>219808</xdr:colOff>
      <xdr:row>60</xdr:row>
      <xdr:rowOff>7326</xdr:rowOff>
    </xdr:from>
    <xdr:to>
      <xdr:col>1</xdr:col>
      <xdr:colOff>1560634</xdr:colOff>
      <xdr:row>60</xdr:row>
      <xdr:rowOff>168517</xdr:rowOff>
    </xdr:to>
    <xdr:sp macro="" textlink="$O$61">
      <xdr:nvSpPr>
        <xdr:cNvPr id="65" name="TextBox 64">
          <a:extLst>
            <a:ext uri="{FF2B5EF4-FFF2-40B4-BE49-F238E27FC236}">
              <a16:creationId xmlns:a16="http://schemas.microsoft.com/office/drawing/2014/main" id="{00000000-0008-0000-0400-000041000000}"/>
            </a:ext>
          </a:extLst>
        </xdr:cNvPr>
        <xdr:cNvSpPr txBox="1"/>
      </xdr:nvSpPr>
      <xdr:spPr>
        <a:xfrm>
          <a:off x="637443" y="19262480"/>
          <a:ext cx="1340826" cy="16119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909B5021-BD79-44F1-9D53-73929AEC0F4A}" type="TxLink">
            <a:rPr lang="en-US" sz="600" b="0" i="0" u="none" strike="noStrike">
              <a:solidFill>
                <a:srgbClr val="FF0000"/>
              </a:solidFill>
              <a:latin typeface="Cambria"/>
            </a:rPr>
            <a:pPr algn="ctr"/>
            <a:t> </a:t>
          </a:fld>
          <a:endParaRPr lang="en-US" sz="6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41</xdr:row>
          <xdr:rowOff>47625</xdr:rowOff>
        </xdr:from>
        <xdr:to>
          <xdr:col>2</xdr:col>
          <xdr:colOff>438150</xdr:colOff>
          <xdr:row>41</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28576</xdr:colOff>
      <xdr:row>52</xdr:row>
      <xdr:rowOff>419100</xdr:rowOff>
    </xdr:from>
    <xdr:to>
      <xdr:col>1</xdr:col>
      <xdr:colOff>3043240</xdr:colOff>
      <xdr:row>52</xdr:row>
      <xdr:rowOff>1581150</xdr:rowOff>
    </xdr:to>
    <xdr:pic>
      <xdr:nvPicPr>
        <xdr:cNvPr id="61" name="Picture 60">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5773400"/>
          <a:ext cx="341471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123825</xdr:colOff>
          <xdr:row>73</xdr:row>
          <xdr:rowOff>485775</xdr:rowOff>
        </xdr:from>
        <xdr:to>
          <xdr:col>2</xdr:col>
          <xdr:colOff>428625</xdr:colOff>
          <xdr:row>73</xdr:row>
          <xdr:rowOff>714375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73</xdr:row>
          <xdr:rowOff>619125</xdr:rowOff>
        </xdr:from>
        <xdr:to>
          <xdr:col>2</xdr:col>
          <xdr:colOff>428625</xdr:colOff>
          <xdr:row>74</xdr:row>
          <xdr:rowOff>38100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1</xdr:row>
          <xdr:rowOff>114300</xdr:rowOff>
        </xdr:from>
        <xdr:to>
          <xdr:col>4</xdr:col>
          <xdr:colOff>447675</xdr:colOff>
          <xdr:row>3</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xdr:row>
          <xdr:rowOff>114300</xdr:rowOff>
        </xdr:from>
        <xdr:to>
          <xdr:col>4</xdr:col>
          <xdr:colOff>447675</xdr:colOff>
          <xdr:row>4</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xdr:row>
          <xdr:rowOff>114300</xdr:rowOff>
        </xdr:from>
        <xdr:to>
          <xdr:col>4</xdr:col>
          <xdr:colOff>447675</xdr:colOff>
          <xdr:row>5</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133350</xdr:rowOff>
        </xdr:from>
        <xdr:to>
          <xdr:col>2</xdr:col>
          <xdr:colOff>485775</xdr:colOff>
          <xdr:row>20</xdr:row>
          <xdr:rowOff>200025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123825</xdr:rowOff>
        </xdr:from>
        <xdr:to>
          <xdr:col>2</xdr:col>
          <xdr:colOff>485775</xdr:colOff>
          <xdr:row>22</xdr:row>
          <xdr:rowOff>209550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133350</xdr:rowOff>
        </xdr:from>
        <xdr:to>
          <xdr:col>2</xdr:col>
          <xdr:colOff>485775</xdr:colOff>
          <xdr:row>24</xdr:row>
          <xdr:rowOff>200025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228600</xdr:rowOff>
        </xdr:from>
        <xdr:to>
          <xdr:col>2</xdr:col>
          <xdr:colOff>485775</xdr:colOff>
          <xdr:row>24</xdr:row>
          <xdr:rowOff>457200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104775</xdr:rowOff>
        </xdr:from>
        <xdr:to>
          <xdr:col>2</xdr:col>
          <xdr:colOff>485775</xdr:colOff>
          <xdr:row>27</xdr:row>
          <xdr:rowOff>333375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371475</xdr:rowOff>
        </xdr:from>
        <xdr:to>
          <xdr:col>2</xdr:col>
          <xdr:colOff>485775</xdr:colOff>
          <xdr:row>27</xdr:row>
          <xdr:rowOff>600075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762000</xdr:rowOff>
        </xdr:from>
        <xdr:to>
          <xdr:col>2</xdr:col>
          <xdr:colOff>485775</xdr:colOff>
          <xdr:row>27</xdr:row>
          <xdr:rowOff>990600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133350</xdr:rowOff>
        </xdr:from>
        <xdr:to>
          <xdr:col>2</xdr:col>
          <xdr:colOff>485775</xdr:colOff>
          <xdr:row>30</xdr:row>
          <xdr:rowOff>200025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238125</xdr:rowOff>
        </xdr:from>
        <xdr:to>
          <xdr:col>2</xdr:col>
          <xdr:colOff>485775</xdr:colOff>
          <xdr:row>30</xdr:row>
          <xdr:rowOff>466725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152400</xdr:rowOff>
        </xdr:from>
        <xdr:to>
          <xdr:col>2</xdr:col>
          <xdr:colOff>485775</xdr:colOff>
          <xdr:row>32</xdr:row>
          <xdr:rowOff>209550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0</xdr:rowOff>
        </xdr:from>
        <xdr:to>
          <xdr:col>2</xdr:col>
          <xdr:colOff>485775</xdr:colOff>
          <xdr:row>35</xdr:row>
          <xdr:rowOff>219075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238125</xdr:rowOff>
        </xdr:from>
        <xdr:to>
          <xdr:col>2</xdr:col>
          <xdr:colOff>485775</xdr:colOff>
          <xdr:row>35</xdr:row>
          <xdr:rowOff>457200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142875</xdr:rowOff>
        </xdr:from>
        <xdr:to>
          <xdr:col>2</xdr:col>
          <xdr:colOff>485775</xdr:colOff>
          <xdr:row>38</xdr:row>
          <xdr:rowOff>200025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9525</xdr:rowOff>
        </xdr:from>
        <xdr:to>
          <xdr:col>2</xdr:col>
          <xdr:colOff>485775</xdr:colOff>
          <xdr:row>42</xdr:row>
          <xdr:rowOff>238125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402517</xdr:colOff>
      <xdr:row>40</xdr:row>
      <xdr:rowOff>334482</xdr:rowOff>
    </xdr:from>
    <xdr:to>
      <xdr:col>1</xdr:col>
      <xdr:colOff>901759</xdr:colOff>
      <xdr:row>40</xdr:row>
      <xdr:rowOff>465861</xdr:rowOff>
    </xdr:to>
    <xdr:sp macro="" textlink="$C$41">
      <xdr:nvSpPr>
        <xdr:cNvPr id="35" name="TextBox 34">
          <a:extLst>
            <a:ext uri="{FF2B5EF4-FFF2-40B4-BE49-F238E27FC236}">
              <a16:creationId xmlns:a16="http://schemas.microsoft.com/office/drawing/2014/main" id="{00000000-0008-0000-0500-000023000000}"/>
            </a:ext>
          </a:extLst>
        </xdr:cNvPr>
        <xdr:cNvSpPr txBox="1"/>
      </xdr:nvSpPr>
      <xdr:spPr>
        <a:xfrm>
          <a:off x="771854" y="10219099"/>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A7ECE3A-B465-4139-B6DB-544FFA9A9BB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56</xdr:row>
          <xdr:rowOff>333375</xdr:rowOff>
        </xdr:from>
        <xdr:to>
          <xdr:col>2</xdr:col>
          <xdr:colOff>428625</xdr:colOff>
          <xdr:row>58</xdr:row>
          <xdr:rowOff>57150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209550</xdr:rowOff>
        </xdr:from>
        <xdr:to>
          <xdr:col>2</xdr:col>
          <xdr:colOff>485775</xdr:colOff>
          <xdr:row>59</xdr:row>
          <xdr:rowOff>447675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352425</xdr:rowOff>
        </xdr:from>
        <xdr:to>
          <xdr:col>2</xdr:col>
          <xdr:colOff>485775</xdr:colOff>
          <xdr:row>59</xdr:row>
          <xdr:rowOff>581025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485775</xdr:rowOff>
        </xdr:from>
        <xdr:to>
          <xdr:col>2</xdr:col>
          <xdr:colOff>485775</xdr:colOff>
          <xdr:row>59</xdr:row>
          <xdr:rowOff>714375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619125</xdr:rowOff>
        </xdr:from>
        <xdr:to>
          <xdr:col>2</xdr:col>
          <xdr:colOff>485775</xdr:colOff>
          <xdr:row>59</xdr:row>
          <xdr:rowOff>847725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752475</xdr:rowOff>
        </xdr:from>
        <xdr:to>
          <xdr:col>2</xdr:col>
          <xdr:colOff>485775</xdr:colOff>
          <xdr:row>60</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123825</xdr:rowOff>
        </xdr:from>
        <xdr:to>
          <xdr:col>2</xdr:col>
          <xdr:colOff>485775</xdr:colOff>
          <xdr:row>62</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133350</xdr:rowOff>
        </xdr:from>
        <xdr:to>
          <xdr:col>2</xdr:col>
          <xdr:colOff>485775</xdr:colOff>
          <xdr:row>64</xdr:row>
          <xdr:rowOff>200025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66</xdr:row>
          <xdr:rowOff>133350</xdr:rowOff>
        </xdr:from>
        <xdr:to>
          <xdr:col>2</xdr:col>
          <xdr:colOff>485775</xdr:colOff>
          <xdr:row>67</xdr:row>
          <xdr:rowOff>200025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238125</xdr:rowOff>
        </xdr:from>
        <xdr:to>
          <xdr:col>2</xdr:col>
          <xdr:colOff>476250</xdr:colOff>
          <xdr:row>67</xdr:row>
          <xdr:rowOff>466725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371475</xdr:rowOff>
        </xdr:from>
        <xdr:to>
          <xdr:col>2</xdr:col>
          <xdr:colOff>476250</xdr:colOff>
          <xdr:row>67</xdr:row>
          <xdr:rowOff>600075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504825</xdr:rowOff>
        </xdr:from>
        <xdr:to>
          <xdr:col>2</xdr:col>
          <xdr:colOff>476250</xdr:colOff>
          <xdr:row>67</xdr:row>
          <xdr:rowOff>733425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752475</xdr:rowOff>
        </xdr:from>
        <xdr:to>
          <xdr:col>2</xdr:col>
          <xdr:colOff>476250</xdr:colOff>
          <xdr:row>68</xdr:row>
          <xdr:rowOff>19050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133350</xdr:rowOff>
        </xdr:from>
        <xdr:to>
          <xdr:col>2</xdr:col>
          <xdr:colOff>485775</xdr:colOff>
          <xdr:row>70</xdr:row>
          <xdr:rowOff>28575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75</xdr:row>
          <xdr:rowOff>123825</xdr:rowOff>
        </xdr:from>
        <xdr:to>
          <xdr:col>2</xdr:col>
          <xdr:colOff>485775</xdr:colOff>
          <xdr:row>76</xdr:row>
          <xdr:rowOff>200025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76</xdr:row>
          <xdr:rowOff>95250</xdr:rowOff>
        </xdr:from>
        <xdr:to>
          <xdr:col>2</xdr:col>
          <xdr:colOff>485775</xdr:colOff>
          <xdr:row>76</xdr:row>
          <xdr:rowOff>323850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133350</xdr:rowOff>
        </xdr:from>
        <xdr:to>
          <xdr:col>2</xdr:col>
          <xdr:colOff>485775</xdr:colOff>
          <xdr:row>78</xdr:row>
          <xdr:rowOff>200025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80</xdr:row>
          <xdr:rowOff>104775</xdr:rowOff>
        </xdr:from>
        <xdr:to>
          <xdr:col>2</xdr:col>
          <xdr:colOff>485775</xdr:colOff>
          <xdr:row>80</xdr:row>
          <xdr:rowOff>333375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93</xdr:row>
          <xdr:rowOff>123825</xdr:rowOff>
        </xdr:from>
        <xdr:to>
          <xdr:col>2</xdr:col>
          <xdr:colOff>485775</xdr:colOff>
          <xdr:row>93</xdr:row>
          <xdr:rowOff>352425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93</xdr:row>
          <xdr:rowOff>257175</xdr:rowOff>
        </xdr:from>
        <xdr:to>
          <xdr:col>2</xdr:col>
          <xdr:colOff>485775</xdr:colOff>
          <xdr:row>93</xdr:row>
          <xdr:rowOff>485775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93</xdr:row>
          <xdr:rowOff>390525</xdr:rowOff>
        </xdr:from>
        <xdr:to>
          <xdr:col>2</xdr:col>
          <xdr:colOff>485775</xdr:colOff>
          <xdr:row>93</xdr:row>
          <xdr:rowOff>609600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95</xdr:row>
          <xdr:rowOff>104775</xdr:rowOff>
        </xdr:from>
        <xdr:to>
          <xdr:col>2</xdr:col>
          <xdr:colOff>485775</xdr:colOff>
          <xdr:row>95</xdr:row>
          <xdr:rowOff>333375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95</xdr:row>
          <xdr:rowOff>266700</xdr:rowOff>
        </xdr:from>
        <xdr:to>
          <xdr:col>2</xdr:col>
          <xdr:colOff>485775</xdr:colOff>
          <xdr:row>95</xdr:row>
          <xdr:rowOff>495300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95</xdr:row>
          <xdr:rowOff>504825</xdr:rowOff>
        </xdr:from>
        <xdr:to>
          <xdr:col>2</xdr:col>
          <xdr:colOff>485775</xdr:colOff>
          <xdr:row>95</xdr:row>
          <xdr:rowOff>723900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95</xdr:row>
          <xdr:rowOff>638175</xdr:rowOff>
        </xdr:from>
        <xdr:to>
          <xdr:col>2</xdr:col>
          <xdr:colOff>485775</xdr:colOff>
          <xdr:row>95</xdr:row>
          <xdr:rowOff>866775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101</xdr:row>
          <xdr:rowOff>133350</xdr:rowOff>
        </xdr:from>
        <xdr:to>
          <xdr:col>2</xdr:col>
          <xdr:colOff>485775</xdr:colOff>
          <xdr:row>102</xdr:row>
          <xdr:rowOff>180975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123825</xdr:rowOff>
        </xdr:from>
        <xdr:to>
          <xdr:col>2</xdr:col>
          <xdr:colOff>485775</xdr:colOff>
          <xdr:row>105</xdr:row>
          <xdr:rowOff>333375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107</xdr:row>
          <xdr:rowOff>104775</xdr:rowOff>
        </xdr:from>
        <xdr:to>
          <xdr:col>2</xdr:col>
          <xdr:colOff>485775</xdr:colOff>
          <xdr:row>107</xdr:row>
          <xdr:rowOff>323850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5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99</xdr:row>
          <xdr:rowOff>47625</xdr:rowOff>
        </xdr:from>
        <xdr:to>
          <xdr:col>2</xdr:col>
          <xdr:colOff>485775</xdr:colOff>
          <xdr:row>99</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5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247650</xdr:rowOff>
        </xdr:from>
        <xdr:to>
          <xdr:col>2</xdr:col>
          <xdr:colOff>485775</xdr:colOff>
          <xdr:row>105</xdr:row>
          <xdr:rowOff>476250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5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381000</xdr:rowOff>
        </xdr:from>
        <xdr:to>
          <xdr:col>2</xdr:col>
          <xdr:colOff>485775</xdr:colOff>
          <xdr:row>105</xdr:row>
          <xdr:rowOff>609600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5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514350</xdr:rowOff>
        </xdr:from>
        <xdr:to>
          <xdr:col>2</xdr:col>
          <xdr:colOff>485775</xdr:colOff>
          <xdr:row>105</xdr:row>
          <xdr:rowOff>733425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5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638175</xdr:rowOff>
        </xdr:from>
        <xdr:to>
          <xdr:col>2</xdr:col>
          <xdr:colOff>485775</xdr:colOff>
          <xdr:row>106</xdr:row>
          <xdr:rowOff>28575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5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xdr:row>
          <xdr:rowOff>114300</xdr:rowOff>
        </xdr:from>
        <xdr:to>
          <xdr:col>4</xdr:col>
          <xdr:colOff>447675</xdr:colOff>
          <xdr:row>6</xdr:row>
          <xdr:rowOff>38100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5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xdr:row>
          <xdr:rowOff>114300</xdr:rowOff>
        </xdr:from>
        <xdr:to>
          <xdr:col>4</xdr:col>
          <xdr:colOff>447675</xdr:colOff>
          <xdr:row>7</xdr:row>
          <xdr:rowOff>38100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5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xdr:row>
          <xdr:rowOff>114300</xdr:rowOff>
        </xdr:from>
        <xdr:to>
          <xdr:col>4</xdr:col>
          <xdr:colOff>447675</xdr:colOff>
          <xdr:row>8</xdr:row>
          <xdr:rowOff>38100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5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114300</xdr:rowOff>
        </xdr:from>
        <xdr:to>
          <xdr:col>4</xdr:col>
          <xdr:colOff>447675</xdr:colOff>
          <xdr:row>9</xdr:row>
          <xdr:rowOff>28575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5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xdr:row>
          <xdr:rowOff>133350</xdr:rowOff>
        </xdr:from>
        <xdr:to>
          <xdr:col>4</xdr:col>
          <xdr:colOff>447675</xdr:colOff>
          <xdr:row>10</xdr:row>
          <xdr:rowOff>28575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5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1269999</xdr:colOff>
      <xdr:row>93</xdr:row>
      <xdr:rowOff>943741</xdr:rowOff>
    </xdr:from>
    <xdr:to>
      <xdr:col>1</xdr:col>
      <xdr:colOff>1769241</xdr:colOff>
      <xdr:row>93</xdr:row>
      <xdr:rowOff>1075120</xdr:rowOff>
    </xdr:to>
    <xdr:sp macro="" textlink="$C$94">
      <xdr:nvSpPr>
        <xdr:cNvPr id="73" name="TextBox 72">
          <a:extLst>
            <a:ext uri="{FF2B5EF4-FFF2-40B4-BE49-F238E27FC236}">
              <a16:creationId xmlns:a16="http://schemas.microsoft.com/office/drawing/2014/main" id="{00000000-0008-0000-0500-000049000000}"/>
            </a:ext>
          </a:extLst>
        </xdr:cNvPr>
        <xdr:cNvSpPr txBox="1"/>
      </xdr:nvSpPr>
      <xdr:spPr>
        <a:xfrm>
          <a:off x="1642240" y="26376586"/>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53F3ED18-9105-494B-9A07-B689F6A1BA8E}"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942222</xdr:colOff>
      <xdr:row>44</xdr:row>
      <xdr:rowOff>14452</xdr:rowOff>
    </xdr:from>
    <xdr:to>
      <xdr:col>1</xdr:col>
      <xdr:colOff>1428326</xdr:colOff>
      <xdr:row>44</xdr:row>
      <xdr:rowOff>144517</xdr:rowOff>
    </xdr:to>
    <xdr:sp macro="" textlink="$C$45">
      <xdr:nvSpPr>
        <xdr:cNvPr id="75" name="TextBox 74">
          <a:extLst>
            <a:ext uri="{FF2B5EF4-FFF2-40B4-BE49-F238E27FC236}">
              <a16:creationId xmlns:a16="http://schemas.microsoft.com/office/drawing/2014/main" id="{00000000-0008-0000-0500-00004B000000}"/>
            </a:ext>
          </a:extLst>
        </xdr:cNvPr>
        <xdr:cNvSpPr txBox="1"/>
      </xdr:nvSpPr>
      <xdr:spPr>
        <a:xfrm>
          <a:off x="1311559" y="11318100"/>
          <a:ext cx="486104" cy="130065"/>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3D316D9-2E4F-48A1-9CE7-DCB5850EC348}"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940909</xdr:colOff>
      <xdr:row>44</xdr:row>
      <xdr:rowOff>151085</xdr:rowOff>
    </xdr:from>
    <xdr:to>
      <xdr:col>1</xdr:col>
      <xdr:colOff>1427013</xdr:colOff>
      <xdr:row>45</xdr:row>
      <xdr:rowOff>137948</xdr:rowOff>
    </xdr:to>
    <xdr:sp macro="" textlink="$C$46">
      <xdr:nvSpPr>
        <xdr:cNvPr id="76" name="TextBox 75">
          <a:extLst>
            <a:ext uri="{FF2B5EF4-FFF2-40B4-BE49-F238E27FC236}">
              <a16:creationId xmlns:a16="http://schemas.microsoft.com/office/drawing/2014/main" id="{00000000-0008-0000-0500-00004C000000}"/>
            </a:ext>
          </a:extLst>
        </xdr:cNvPr>
        <xdr:cNvSpPr txBox="1"/>
      </xdr:nvSpPr>
      <xdr:spPr>
        <a:xfrm>
          <a:off x="1310246" y="11454733"/>
          <a:ext cx="486104" cy="14237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82C784C0-30B6-44FF-8C34-62E184B530D8}"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17</xdr:row>
          <xdr:rowOff>276225</xdr:rowOff>
        </xdr:from>
        <xdr:to>
          <xdr:col>2</xdr:col>
          <xdr:colOff>485775</xdr:colOff>
          <xdr:row>17</xdr:row>
          <xdr:rowOff>447675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5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142875</xdr:rowOff>
        </xdr:from>
        <xdr:to>
          <xdr:col>2</xdr:col>
          <xdr:colOff>485775</xdr:colOff>
          <xdr:row>17</xdr:row>
          <xdr:rowOff>314325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5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82</xdr:row>
          <xdr:rowOff>38100</xdr:rowOff>
        </xdr:from>
        <xdr:to>
          <xdr:col>2</xdr:col>
          <xdr:colOff>485775</xdr:colOff>
          <xdr:row>82</xdr:row>
          <xdr:rowOff>266700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5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523875</xdr:rowOff>
        </xdr:from>
        <xdr:to>
          <xdr:col>2</xdr:col>
          <xdr:colOff>495300</xdr:colOff>
          <xdr:row>93</xdr:row>
          <xdr:rowOff>742950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5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657225</xdr:rowOff>
        </xdr:from>
        <xdr:to>
          <xdr:col>2</xdr:col>
          <xdr:colOff>485775</xdr:colOff>
          <xdr:row>93</xdr:row>
          <xdr:rowOff>876300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5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1280948</xdr:colOff>
      <xdr:row>95</xdr:row>
      <xdr:rowOff>1083879</xdr:rowOff>
    </xdr:from>
    <xdr:to>
      <xdr:col>1</xdr:col>
      <xdr:colOff>1780190</xdr:colOff>
      <xdr:row>95</xdr:row>
      <xdr:rowOff>1215258</xdr:rowOff>
    </xdr:to>
    <xdr:sp macro="" textlink="$C$96">
      <xdr:nvSpPr>
        <xdr:cNvPr id="81" name="TextBox 80">
          <a:extLst>
            <a:ext uri="{FF2B5EF4-FFF2-40B4-BE49-F238E27FC236}">
              <a16:creationId xmlns:a16="http://schemas.microsoft.com/office/drawing/2014/main" id="{00000000-0008-0000-0500-000051000000}"/>
            </a:ext>
          </a:extLst>
        </xdr:cNvPr>
        <xdr:cNvSpPr txBox="1"/>
      </xdr:nvSpPr>
      <xdr:spPr>
        <a:xfrm>
          <a:off x="1653189" y="27841465"/>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395EDA9-B615-4C1B-A04E-D2EDF4BC0A2F}"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1132052</xdr:colOff>
      <xdr:row>51</xdr:row>
      <xdr:rowOff>264949</xdr:rowOff>
    </xdr:from>
    <xdr:to>
      <xdr:col>1</xdr:col>
      <xdr:colOff>1631294</xdr:colOff>
      <xdr:row>51</xdr:row>
      <xdr:rowOff>396328</xdr:rowOff>
    </xdr:to>
    <xdr:sp macro="" textlink="$C$52">
      <xdr:nvSpPr>
        <xdr:cNvPr id="88" name="TextBox 87">
          <a:extLst>
            <a:ext uri="{FF2B5EF4-FFF2-40B4-BE49-F238E27FC236}">
              <a16:creationId xmlns:a16="http://schemas.microsoft.com/office/drawing/2014/main" id="{00000000-0008-0000-0500-000058000000}"/>
            </a:ext>
          </a:extLst>
        </xdr:cNvPr>
        <xdr:cNvSpPr txBox="1"/>
      </xdr:nvSpPr>
      <xdr:spPr>
        <a:xfrm>
          <a:off x="1548086" y="12997794"/>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257EF807-5B33-49A2-81B2-A96DA87F60A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1129937</xdr:colOff>
      <xdr:row>51</xdr:row>
      <xdr:rowOff>415159</xdr:rowOff>
    </xdr:from>
    <xdr:to>
      <xdr:col>1</xdr:col>
      <xdr:colOff>1629179</xdr:colOff>
      <xdr:row>53</xdr:row>
      <xdr:rowOff>1314</xdr:rowOff>
    </xdr:to>
    <xdr:sp macro="" textlink="$C$53">
      <xdr:nvSpPr>
        <xdr:cNvPr id="89" name="TextBox 88">
          <a:extLst>
            <a:ext uri="{FF2B5EF4-FFF2-40B4-BE49-F238E27FC236}">
              <a16:creationId xmlns:a16="http://schemas.microsoft.com/office/drawing/2014/main" id="{00000000-0008-0000-0500-000059000000}"/>
            </a:ext>
          </a:extLst>
        </xdr:cNvPr>
        <xdr:cNvSpPr txBox="1"/>
      </xdr:nvSpPr>
      <xdr:spPr>
        <a:xfrm>
          <a:off x="1527502" y="12251007"/>
          <a:ext cx="499242" cy="13280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3FAB0D43-3CBC-47DD-974A-55A93BDBB7DD}"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1912201</xdr:colOff>
      <xdr:row>56</xdr:row>
      <xdr:rowOff>258818</xdr:rowOff>
    </xdr:from>
    <xdr:to>
      <xdr:col>1</xdr:col>
      <xdr:colOff>2411443</xdr:colOff>
      <xdr:row>57</xdr:row>
      <xdr:rowOff>2628</xdr:rowOff>
    </xdr:to>
    <xdr:sp macro="" textlink="$C$57">
      <xdr:nvSpPr>
        <xdr:cNvPr id="90" name="TextBox 89">
          <a:extLst>
            <a:ext uri="{FF2B5EF4-FFF2-40B4-BE49-F238E27FC236}">
              <a16:creationId xmlns:a16="http://schemas.microsoft.com/office/drawing/2014/main" id="{00000000-0008-0000-0500-00005A000000}"/>
            </a:ext>
          </a:extLst>
        </xdr:cNvPr>
        <xdr:cNvSpPr txBox="1"/>
      </xdr:nvSpPr>
      <xdr:spPr>
        <a:xfrm>
          <a:off x="2309766" y="13014035"/>
          <a:ext cx="499242" cy="13309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4D7865C2-EF45-4B4F-9980-02596DBBC0BC}"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1131194</xdr:colOff>
      <xdr:row>53</xdr:row>
      <xdr:rowOff>13616</xdr:rowOff>
    </xdr:from>
    <xdr:to>
      <xdr:col>1</xdr:col>
      <xdr:colOff>1630436</xdr:colOff>
      <xdr:row>54</xdr:row>
      <xdr:rowOff>15805</xdr:rowOff>
    </xdr:to>
    <xdr:sp macro="" textlink="$C$54">
      <xdr:nvSpPr>
        <xdr:cNvPr id="91" name="TextBox 90">
          <a:extLst>
            <a:ext uri="{FF2B5EF4-FFF2-40B4-BE49-F238E27FC236}">
              <a16:creationId xmlns:a16="http://schemas.microsoft.com/office/drawing/2014/main" id="{00000000-0008-0000-0500-00005B000000}"/>
            </a:ext>
          </a:extLst>
        </xdr:cNvPr>
        <xdr:cNvSpPr txBox="1"/>
      </xdr:nvSpPr>
      <xdr:spPr>
        <a:xfrm>
          <a:off x="1528759" y="12396116"/>
          <a:ext cx="499242" cy="126428"/>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D4C03118-0626-426A-858B-72E78A03FA24}"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53</xdr:row>
          <xdr:rowOff>57150</xdr:rowOff>
        </xdr:from>
        <xdr:to>
          <xdr:col>2</xdr:col>
          <xdr:colOff>428625</xdr:colOff>
          <xdr:row>55</xdr:row>
          <xdr:rowOff>66675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5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446690</xdr:colOff>
      <xdr:row>85</xdr:row>
      <xdr:rowOff>278087</xdr:rowOff>
    </xdr:from>
    <xdr:to>
      <xdr:col>1</xdr:col>
      <xdr:colOff>1905000</xdr:colOff>
      <xdr:row>85</xdr:row>
      <xdr:rowOff>411654</xdr:rowOff>
    </xdr:to>
    <xdr:sp macro="" textlink="$G$86">
      <xdr:nvSpPr>
        <xdr:cNvPr id="94" name="TextBox 93">
          <a:extLst>
            <a:ext uri="{FF2B5EF4-FFF2-40B4-BE49-F238E27FC236}">
              <a16:creationId xmlns:a16="http://schemas.microsoft.com/office/drawing/2014/main" id="{00000000-0008-0000-0500-00005E000000}"/>
            </a:ext>
          </a:extLst>
        </xdr:cNvPr>
        <xdr:cNvSpPr txBox="1"/>
      </xdr:nvSpPr>
      <xdr:spPr>
        <a:xfrm>
          <a:off x="862724" y="23127139"/>
          <a:ext cx="1458310" cy="13356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1D24822-2152-4CD5-8BBF-EA40BC453DB4}" type="TxLink">
            <a:rPr lang="en-US" sz="800" b="0" i="0" u="none" strike="noStrike">
              <a:solidFill>
                <a:srgbClr val="0070C0"/>
              </a:solidFill>
              <a:latin typeface="Cambria"/>
            </a:rPr>
            <a:pPr algn="ctr"/>
            <a:t> </a:t>
          </a:fld>
          <a:endParaRPr lang="en-US" sz="800">
            <a:solidFill>
              <a:sysClr val="windowText" lastClr="000000"/>
            </a:solidFill>
          </a:endParaRPr>
        </a:p>
      </xdr:txBody>
    </xdr:sp>
    <xdr:clientData/>
  </xdr:twoCellAnchor>
  <xdr:twoCellAnchor>
    <xdr:from>
      <xdr:col>1</xdr:col>
      <xdr:colOff>448002</xdr:colOff>
      <xdr:row>86</xdr:row>
      <xdr:rowOff>131379</xdr:rowOff>
    </xdr:from>
    <xdr:to>
      <xdr:col>1</xdr:col>
      <xdr:colOff>1905000</xdr:colOff>
      <xdr:row>86</xdr:row>
      <xdr:rowOff>262758</xdr:rowOff>
    </xdr:to>
    <xdr:sp macro="" textlink="$G$87">
      <xdr:nvSpPr>
        <xdr:cNvPr id="95" name="TextBox 94">
          <a:extLst>
            <a:ext uri="{FF2B5EF4-FFF2-40B4-BE49-F238E27FC236}">
              <a16:creationId xmlns:a16="http://schemas.microsoft.com/office/drawing/2014/main" id="{00000000-0008-0000-0500-00005F000000}"/>
            </a:ext>
          </a:extLst>
        </xdr:cNvPr>
        <xdr:cNvSpPr txBox="1"/>
      </xdr:nvSpPr>
      <xdr:spPr>
        <a:xfrm>
          <a:off x="864036" y="23396465"/>
          <a:ext cx="1456998"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CF2F9D9-AF0F-47FE-8219-C791372FBA1B}" type="TxLink">
            <a:rPr lang="en-US" sz="800" b="0" i="0" u="none" strike="noStrike">
              <a:solidFill>
                <a:srgbClr val="0070C0"/>
              </a:solidFill>
              <a:latin typeface="Cambria"/>
            </a:rPr>
            <a:pPr algn="ctr"/>
            <a:t> </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88</xdr:row>
          <xdr:rowOff>352425</xdr:rowOff>
        </xdr:from>
        <xdr:to>
          <xdr:col>2</xdr:col>
          <xdr:colOff>495300</xdr:colOff>
          <xdr:row>88</xdr:row>
          <xdr:rowOff>581025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5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88</xdr:row>
          <xdr:rowOff>504825</xdr:rowOff>
        </xdr:from>
        <xdr:to>
          <xdr:col>2</xdr:col>
          <xdr:colOff>495300</xdr:colOff>
          <xdr:row>89</xdr:row>
          <xdr:rowOff>28575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5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133350</xdr:rowOff>
        </xdr:from>
        <xdr:to>
          <xdr:col>2</xdr:col>
          <xdr:colOff>485775</xdr:colOff>
          <xdr:row>69</xdr:row>
          <xdr:rowOff>190500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96</xdr:row>
          <xdr:rowOff>152400</xdr:rowOff>
        </xdr:from>
        <xdr:to>
          <xdr:col>2</xdr:col>
          <xdr:colOff>476250</xdr:colOff>
          <xdr:row>98</xdr:row>
          <xdr:rowOff>19050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5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89</xdr:row>
          <xdr:rowOff>104775</xdr:rowOff>
        </xdr:from>
        <xdr:to>
          <xdr:col>2</xdr:col>
          <xdr:colOff>504825</xdr:colOff>
          <xdr:row>91</xdr:row>
          <xdr:rowOff>38100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5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47297</xdr:colOff>
      <xdr:row>46</xdr:row>
      <xdr:rowOff>47296</xdr:rowOff>
    </xdr:from>
    <xdr:to>
      <xdr:col>1</xdr:col>
      <xdr:colOff>2720866</xdr:colOff>
      <xdr:row>46</xdr:row>
      <xdr:rowOff>670034</xdr:rowOff>
    </xdr:to>
    <xdr:sp macro="" textlink="$C$47">
      <xdr:nvSpPr>
        <xdr:cNvPr id="5" name="TextBox 4">
          <a:extLst>
            <a:ext uri="{FF2B5EF4-FFF2-40B4-BE49-F238E27FC236}">
              <a16:creationId xmlns:a16="http://schemas.microsoft.com/office/drawing/2014/main" id="{00000000-0008-0000-0600-000005000000}"/>
            </a:ext>
          </a:extLst>
        </xdr:cNvPr>
        <xdr:cNvSpPr txBox="1"/>
      </xdr:nvSpPr>
      <xdr:spPr>
        <a:xfrm>
          <a:off x="402021" y="4435365"/>
          <a:ext cx="2673569" cy="622738"/>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fld id="{CF410BD5-43EA-4FD2-BE7E-1CE1BB8EB0DA}" type="TxLink">
            <a:rPr lang="en-US" sz="800" b="0" i="0" u="none" strike="noStrike">
              <a:solidFill>
                <a:srgbClr val="0070C0"/>
              </a:solidFill>
              <a:latin typeface="Cambria"/>
            </a:rPr>
            <a:pPr/>
            <a:t>Exemplify how the project  demonstrated social benefits.</a:t>
          </a:fld>
          <a:endParaRPr lang="en-SG" sz="1100"/>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40</xdr:row>
          <xdr:rowOff>142875</xdr:rowOff>
        </xdr:from>
        <xdr:to>
          <xdr:col>2</xdr:col>
          <xdr:colOff>438150</xdr:colOff>
          <xdr:row>42</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161925</xdr:rowOff>
        </xdr:from>
        <xdr:to>
          <xdr:col>2</xdr:col>
          <xdr:colOff>438150</xdr:colOff>
          <xdr:row>43</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39414</xdr:colOff>
      <xdr:row>37</xdr:row>
      <xdr:rowOff>337899</xdr:rowOff>
    </xdr:from>
    <xdr:to>
      <xdr:col>1</xdr:col>
      <xdr:colOff>2712983</xdr:colOff>
      <xdr:row>37</xdr:row>
      <xdr:rowOff>462710</xdr:rowOff>
    </xdr:to>
    <xdr:sp macro="" textlink="$C$38">
      <xdr:nvSpPr>
        <xdr:cNvPr id="8" name="TextBox 7">
          <a:extLst>
            <a:ext uri="{FF2B5EF4-FFF2-40B4-BE49-F238E27FC236}">
              <a16:creationId xmlns:a16="http://schemas.microsoft.com/office/drawing/2014/main" id="{00000000-0008-0000-0600-000008000000}"/>
            </a:ext>
          </a:extLst>
        </xdr:cNvPr>
        <xdr:cNvSpPr txBox="1"/>
      </xdr:nvSpPr>
      <xdr:spPr>
        <a:xfrm>
          <a:off x="389312" y="2631675"/>
          <a:ext cx="2673569" cy="124811"/>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fld id="{9FB1BA76-C507-4678-8D52-9EDF8E8A5270}" type="TxLink">
            <a:rPr lang="en-US" sz="800" b="0" i="0" u="none" strike="noStrike">
              <a:solidFill>
                <a:srgbClr val="0070C0"/>
              </a:solidFill>
              <a:latin typeface="Cambria"/>
            </a:rPr>
            <a:pPr/>
            <a:t>Name of  cert</a:t>
          </a:fld>
          <a:endParaRPr lang="en-SG" sz="1100"/>
        </a:p>
      </xdr:txBody>
    </xdr:sp>
    <xdr:clientData/>
  </xdr:twoCellAnchor>
  <xdr:twoCellAnchor>
    <xdr:from>
      <xdr:col>1</xdr:col>
      <xdr:colOff>48597</xdr:colOff>
      <xdr:row>47</xdr:row>
      <xdr:rowOff>38877</xdr:rowOff>
    </xdr:from>
    <xdr:to>
      <xdr:col>1</xdr:col>
      <xdr:colOff>2722166</xdr:colOff>
      <xdr:row>47</xdr:row>
      <xdr:rowOff>661615</xdr:rowOff>
    </xdr:to>
    <xdr:sp macro="" textlink="$C$48">
      <xdr:nvSpPr>
        <xdr:cNvPr id="6" name="TextBox 5">
          <a:extLst>
            <a:ext uri="{FF2B5EF4-FFF2-40B4-BE49-F238E27FC236}">
              <a16:creationId xmlns:a16="http://schemas.microsoft.com/office/drawing/2014/main" id="{00000000-0008-0000-0600-000006000000}"/>
            </a:ext>
          </a:extLst>
        </xdr:cNvPr>
        <xdr:cNvSpPr txBox="1"/>
      </xdr:nvSpPr>
      <xdr:spPr>
        <a:xfrm>
          <a:off x="447092" y="5229030"/>
          <a:ext cx="2673569" cy="622738"/>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fld id="{A32A0B12-9EC8-450F-A244-301419372EA2}" type="TxLink">
            <a:rPr lang="en-US" sz="800" b="0" i="0" u="none" strike="noStrike">
              <a:solidFill>
                <a:srgbClr val="0070C0"/>
              </a:solidFill>
              <a:latin typeface="Cambria"/>
            </a:rPr>
            <a:pPr/>
            <a:t>Exemplify how the project  demonstrated social benefits.</a:t>
          </a:fld>
          <a:endParaRPr lang="en-SG" sz="1100"/>
        </a:p>
      </xdr:txBody>
    </xdr:sp>
    <xdr:clientData/>
  </xdr:twoCellAnchor>
  <xdr:twoCellAnchor>
    <xdr:from>
      <xdr:col>1</xdr:col>
      <xdr:colOff>38878</xdr:colOff>
      <xdr:row>48</xdr:row>
      <xdr:rowOff>29159</xdr:rowOff>
    </xdr:from>
    <xdr:to>
      <xdr:col>1</xdr:col>
      <xdr:colOff>2712447</xdr:colOff>
      <xdr:row>48</xdr:row>
      <xdr:rowOff>651897</xdr:rowOff>
    </xdr:to>
    <xdr:sp macro="" textlink="$C$49">
      <xdr:nvSpPr>
        <xdr:cNvPr id="7" name="TextBox 6">
          <a:extLst>
            <a:ext uri="{FF2B5EF4-FFF2-40B4-BE49-F238E27FC236}">
              <a16:creationId xmlns:a16="http://schemas.microsoft.com/office/drawing/2014/main" id="{00000000-0008-0000-0600-000007000000}"/>
            </a:ext>
          </a:extLst>
        </xdr:cNvPr>
        <xdr:cNvSpPr txBox="1"/>
      </xdr:nvSpPr>
      <xdr:spPr>
        <a:xfrm>
          <a:off x="437373" y="5928827"/>
          <a:ext cx="2673569" cy="622738"/>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fld id="{1C1D245B-21E7-4292-BABD-A3E83D7A4406}" type="TxLink">
            <a:rPr lang="en-US" sz="800" b="0" i="0" u="none" strike="noStrike">
              <a:solidFill>
                <a:srgbClr val="0070C0"/>
              </a:solidFill>
              <a:latin typeface="Cambria"/>
            </a:rPr>
            <a:pPr/>
            <a:t>Exemplify how the project  demonstrated social benefits.</a:t>
          </a:fld>
          <a:endParaRPr lang="en-SG" sz="1100"/>
        </a:p>
      </xdr:txBody>
    </xdr:sp>
    <xdr:clientData/>
  </xdr:twoCellAnchor>
  <xdr:twoCellAnchor>
    <xdr:from>
      <xdr:col>1</xdr:col>
      <xdr:colOff>38878</xdr:colOff>
      <xdr:row>49</xdr:row>
      <xdr:rowOff>48597</xdr:rowOff>
    </xdr:from>
    <xdr:to>
      <xdr:col>1</xdr:col>
      <xdr:colOff>2712447</xdr:colOff>
      <xdr:row>49</xdr:row>
      <xdr:rowOff>671335</xdr:rowOff>
    </xdr:to>
    <xdr:sp macro="" textlink="$C$50">
      <xdr:nvSpPr>
        <xdr:cNvPr id="9" name="TextBox 8">
          <a:extLst>
            <a:ext uri="{FF2B5EF4-FFF2-40B4-BE49-F238E27FC236}">
              <a16:creationId xmlns:a16="http://schemas.microsoft.com/office/drawing/2014/main" id="{00000000-0008-0000-0600-000009000000}"/>
            </a:ext>
          </a:extLst>
        </xdr:cNvPr>
        <xdr:cNvSpPr txBox="1"/>
      </xdr:nvSpPr>
      <xdr:spPr>
        <a:xfrm>
          <a:off x="437373" y="6657781"/>
          <a:ext cx="2673569" cy="622738"/>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fld id="{6CDEDCFC-85FB-4142-B9D2-1D48F8A2809E}" type="TxLink">
            <a:rPr lang="en-US" sz="800" b="0" i="0" u="none" strike="noStrike">
              <a:solidFill>
                <a:srgbClr val="0070C0"/>
              </a:solidFill>
              <a:latin typeface="Cambria"/>
            </a:rPr>
            <a:pPr/>
            <a:t>Exemplify how the project  demonstrated social benefits.</a:t>
          </a:fld>
          <a:endParaRPr lang="en-SG" sz="1100"/>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10</xdr:row>
          <xdr:rowOff>133350</xdr:rowOff>
        </xdr:from>
        <xdr:to>
          <xdr:col>2</xdr:col>
          <xdr:colOff>438150</xdr:colOff>
          <xdr:row>12</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114300</xdr:rowOff>
        </xdr:from>
        <xdr:to>
          <xdr:col>2</xdr:col>
          <xdr:colOff>438150</xdr:colOff>
          <xdr:row>19</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152400</xdr:rowOff>
        </xdr:from>
        <xdr:to>
          <xdr:col>2</xdr:col>
          <xdr:colOff>438150</xdr:colOff>
          <xdr:row>19</xdr:row>
          <xdr:rowOff>381000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581025</xdr:rowOff>
        </xdr:from>
        <xdr:to>
          <xdr:col>2</xdr:col>
          <xdr:colOff>438150</xdr:colOff>
          <xdr:row>21</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133350</xdr:rowOff>
        </xdr:from>
        <xdr:to>
          <xdr:col>2</xdr:col>
          <xdr:colOff>438150</xdr:colOff>
          <xdr:row>22</xdr:row>
          <xdr:rowOff>38100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2</xdr:col>
          <xdr:colOff>438150</xdr:colOff>
          <xdr:row>29</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28575</xdr:rowOff>
        </xdr:from>
        <xdr:to>
          <xdr:col>2</xdr:col>
          <xdr:colOff>438150</xdr:colOff>
          <xdr:row>29</xdr:row>
          <xdr:rowOff>257175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CA_YockKeng/Documents/Yock%20Keng/Documents/Assessment/Criterias/GM%20Version%205.0/BCA_Energy_Performance_Points_Calcul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1.bca.gov.sg/docs/default-source/docs-corp-buildsg/sustainability/GM_NRB_2015_Score_C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Tracking"/>
      <sheetName val="Score Summary"/>
      <sheetName val="Part 1 - CRD"/>
      <sheetName val="Part 2 - BEP"/>
      <sheetName val="Part 3 - RS"/>
      <sheetName val="Part 4 - SHB"/>
      <sheetName val="Part 5 - AGE"/>
      <sheetName val="Annexes"/>
    </sheetNames>
    <sheetDataSet>
      <sheetData sheetId="0">
        <row r="24">
          <cell r="C24" t="str">
            <v>Score Card_ GM2015_R2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bca.gov.sg/docs/default-source/docs-corp-buildsg/sustainability/gm_nrb_2015_score_card.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70.xml"/><Relationship Id="rId20" Type="http://schemas.openxmlformats.org/officeDocument/2006/relationships/ctrlProp" Target="../ctrlProps/ctrlProp74.xml"/><Relationship Id="rId29" Type="http://schemas.openxmlformats.org/officeDocument/2006/relationships/ctrlProp" Target="../ctrlProps/ctrlProp83.xml"/><Relationship Id="rId1" Type="http://schemas.openxmlformats.org/officeDocument/2006/relationships/printerSettings" Target="../printerSettings/printerSettings5.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8" Type="http://schemas.openxmlformats.org/officeDocument/2006/relationships/ctrlProp" Target="../ctrlProps/ctrlProp62.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7"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107.xml"/><Relationship Id="rId29" Type="http://schemas.openxmlformats.org/officeDocument/2006/relationships/ctrlProp" Target="../ctrlProps/ctrlProp120.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8" Type="http://schemas.openxmlformats.org/officeDocument/2006/relationships/ctrlProp" Target="../ctrlProps/ctrlProp149.xml"/><Relationship Id="rId66" Type="http://schemas.openxmlformats.org/officeDocument/2006/relationships/ctrlProp" Target="../ctrlProps/ctrlProp157.xml"/><Relationship Id="rId5" Type="http://schemas.openxmlformats.org/officeDocument/2006/relationships/ctrlProp" Target="../ctrlProps/ctrlProp96.xml"/><Relationship Id="rId61" Type="http://schemas.openxmlformats.org/officeDocument/2006/relationships/ctrlProp" Target="../ctrlProps/ctrlProp152.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8" Type="http://schemas.openxmlformats.org/officeDocument/2006/relationships/ctrlProp" Target="../ctrlProps/ctrlProp99.xml"/><Relationship Id="rId51" Type="http://schemas.openxmlformats.org/officeDocument/2006/relationships/ctrlProp" Target="../ctrlProps/ctrlProp142.xml"/><Relationship Id="rId3" Type="http://schemas.openxmlformats.org/officeDocument/2006/relationships/vmlDrawing" Target="../drawings/vmlDrawing4.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1" Type="http://schemas.openxmlformats.org/officeDocument/2006/relationships/printerSettings" Target="../printerSettings/printerSettings6.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5.xml"/><Relationship Id="rId3" Type="http://schemas.openxmlformats.org/officeDocument/2006/relationships/vmlDrawing" Target="../drawings/vmlDrawing5.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4:G31"/>
  <sheetViews>
    <sheetView topLeftCell="A22" zoomScaleNormal="100" workbookViewId="0">
      <selection activeCell="D37" sqref="D37"/>
    </sheetView>
  </sheetViews>
  <sheetFormatPr defaultColWidth="9.140625" defaultRowHeight="15" x14ac:dyDescent="0.25"/>
  <cols>
    <col min="1" max="1" width="7.28515625" style="171" customWidth="1"/>
    <col min="2" max="2" width="39.28515625" style="171" customWidth="1"/>
    <col min="3" max="3" width="52.7109375" style="171" customWidth="1"/>
    <col min="4" max="4" width="31.140625" style="171" customWidth="1"/>
    <col min="5" max="5" width="47.85546875" style="171" customWidth="1"/>
    <col min="6" max="16384" width="9.140625" style="171"/>
  </cols>
  <sheetData>
    <row r="24" spans="1:7" x14ac:dyDescent="0.25">
      <c r="B24" s="174" t="s">
        <v>190</v>
      </c>
      <c r="C24" s="398" t="s">
        <v>425</v>
      </c>
    </row>
    <row r="25" spans="1:7" x14ac:dyDescent="0.25">
      <c r="B25" s="171" t="str">
        <f>IFERROR(IF(C24='[2]Revision Tracking'!$C$24,"You are using the latest version of the score card","The latest version of the score card is available for download, pls download online"),"Please connect to internet")</f>
        <v>The latest version of the score card is available for download, pls download online</v>
      </c>
      <c r="D25" s="170" t="str">
        <f>IF(B25="The latest version of the score card is available for download, pls download online","Download here","")</f>
        <v>Download here</v>
      </c>
    </row>
    <row r="26" spans="1:7" ht="15.75" thickBot="1" x14ac:dyDescent="0.3">
      <c r="A26" s="173" t="s">
        <v>191</v>
      </c>
      <c r="B26" s="173"/>
    </row>
    <row r="27" spans="1:7" ht="15.75" thickBot="1" x14ac:dyDescent="0.3">
      <c r="A27" s="175" t="s">
        <v>192</v>
      </c>
      <c r="B27" s="176" t="s">
        <v>193</v>
      </c>
      <c r="C27" s="176" t="s">
        <v>194</v>
      </c>
      <c r="D27" s="176" t="s">
        <v>195</v>
      </c>
      <c r="E27" s="172"/>
    </row>
    <row r="28" spans="1:7" ht="15.75" thickBot="1" x14ac:dyDescent="0.3">
      <c r="A28" s="177">
        <v>1</v>
      </c>
      <c r="B28" s="178" t="s">
        <v>199</v>
      </c>
      <c r="C28" s="179" t="s">
        <v>198</v>
      </c>
      <c r="D28" s="180" t="s">
        <v>197</v>
      </c>
    </row>
    <row r="29" spans="1:7" ht="15.75" thickBot="1" x14ac:dyDescent="0.3">
      <c r="A29" s="181">
        <v>2</v>
      </c>
      <c r="B29" s="182" t="s">
        <v>201</v>
      </c>
      <c r="C29" s="182" t="s">
        <v>202</v>
      </c>
      <c r="D29" s="182" t="s">
        <v>203</v>
      </c>
    </row>
    <row r="30" spans="1:7" ht="15.75" thickBot="1" x14ac:dyDescent="0.3">
      <c r="A30" s="181">
        <v>3</v>
      </c>
      <c r="B30" s="182" t="s">
        <v>317</v>
      </c>
      <c r="C30" s="182" t="s">
        <v>318</v>
      </c>
      <c r="D30" s="182" t="s">
        <v>319</v>
      </c>
      <c r="G30" s="171" t="s">
        <v>196</v>
      </c>
    </row>
    <row r="31" spans="1:7" ht="15.75" thickBot="1" x14ac:dyDescent="0.3">
      <c r="A31" s="181">
        <v>4</v>
      </c>
      <c r="B31" s="397" t="s">
        <v>422</v>
      </c>
      <c r="C31" s="397" t="s">
        <v>423</v>
      </c>
      <c r="D31" s="397" t="s">
        <v>424</v>
      </c>
    </row>
  </sheetData>
  <sheetProtection formatCells="0"/>
  <dataConsolidate/>
  <hyperlinks>
    <hyperlink ref="D25" r:id="rId1" display="https://www1.bca.gov.sg/docs/default-source/docs-corp-buildsg/sustainability/gm_nrb_2015_score_card.xlsx" xr:uid="{00000000-0004-0000-0000-000000000000}"/>
  </hyperlinks>
  <pageMargins left="0.7" right="0.7" top="0.75" bottom="0.75" header="0.3" footer="0.3"/>
  <pageSetup paperSize="9" scale="6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5"/>
  <sheetViews>
    <sheetView workbookViewId="0">
      <selection activeCell="D12" sqref="D12"/>
    </sheetView>
  </sheetViews>
  <sheetFormatPr defaultRowHeight="12.75" x14ac:dyDescent="0.2"/>
  <cols>
    <col min="3" max="3" width="7.5703125" customWidth="1"/>
    <col min="4" max="4" width="61" customWidth="1"/>
  </cols>
  <sheetData>
    <row r="1" spans="2:5" x14ac:dyDescent="0.2">
      <c r="C1">
        <v>3</v>
      </c>
      <c r="D1">
        <v>4</v>
      </c>
      <c r="E1">
        <v>5</v>
      </c>
    </row>
    <row r="2" spans="2:5" x14ac:dyDescent="0.2">
      <c r="C2" t="s">
        <v>474</v>
      </c>
    </row>
    <row r="3" spans="2:5" x14ac:dyDescent="0.2">
      <c r="B3">
        <v>1</v>
      </c>
      <c r="C3" t="str">
        <f>IFERROR(VLOOKUP($B3,Tabulation!$A$2:$E$22,C$1,FALSE),"")</f>
        <v>PART 1</v>
      </c>
      <c r="D3" t="str">
        <f>IFERROR(VLOOKUP($B3,Tabulation!$A$2:$E$22,D$1,FALSE),"")</f>
        <v>–  CLIMATIC RESPONSIVE DESIGN</v>
      </c>
      <c r="E3" t="str">
        <f>IFERROR(VLOOKUP($B3,Tabulation!$A$2:$E$22,E$1,FALSE),"")</f>
        <v/>
      </c>
    </row>
    <row r="4" spans="2:5" x14ac:dyDescent="0.2">
      <c r="B4">
        <v>2</v>
      </c>
      <c r="C4" t="str">
        <f>IFERROR(VLOOKUP($B4,Tabulation!$A$2:$E$100,C$1,FALSE),"")</f>
        <v>P.1</v>
      </c>
      <c r="D4" t="str">
        <f>IFERROR(VLOOKUP($B4,Tabulation!$A$2:$E$100,D$1,FALSE),"")</f>
        <v>Envelope and Roof Thermal Transfer</v>
      </c>
      <c r="E4" t="str">
        <f>IFERROR(VLOOKUP($B4,Tabulation!$A$2:$E$100,E$1,FALSE),"")</f>
        <v/>
      </c>
    </row>
    <row r="5" spans="2:5" x14ac:dyDescent="0.2">
      <c r="B5">
        <v>3</v>
      </c>
      <c r="C5" t="str">
        <f>IFERROR(VLOOKUP($B5,Tabulation!$A$2:$E$100,C$1,FALSE),"")</f>
        <v>P.2</v>
      </c>
      <c r="D5" t="str">
        <f>IFERROR(VLOOKUP($B5,Tabulation!$A$2:$E$100,D$1,FALSE),"")</f>
        <v>Air Tightness and Leakage</v>
      </c>
      <c r="E5" t="str">
        <f>IFERROR(VLOOKUP($B5,Tabulation!$A$2:$E$100,E$1,FALSE),"")</f>
        <v/>
      </c>
    </row>
    <row r="6" spans="2:5" x14ac:dyDescent="0.2">
      <c r="B6">
        <v>4</v>
      </c>
      <c r="C6" t="str">
        <f>IFERROR(VLOOKUP($B6,Tabulation!$A$2:$E$100,C$1,FALSE),"")</f>
        <v>P.3</v>
      </c>
      <c r="D6" t="str">
        <f>IFERROR(VLOOKUP($B6,Tabulation!$A$2:$E$100,D$1,FALSE),"")</f>
        <v>Bicycle Parking</v>
      </c>
      <c r="E6" t="str">
        <f>IFERROR(VLOOKUP($B6,Tabulation!$A$2:$E$100,E$1,FALSE),"")</f>
        <v/>
      </c>
    </row>
    <row r="7" spans="2:5" x14ac:dyDescent="0.2">
      <c r="B7">
        <v>5</v>
      </c>
      <c r="C7" t="str">
        <f>IFERROR(VLOOKUP($B7,Tabulation!$A$2:$E$100,C$1,FALSE),"")</f>
        <v/>
      </c>
      <c r="D7" t="str">
        <f>IFERROR(VLOOKUP($B7,Tabulation!$A$2:$E$100,D$1,FALSE),"")</f>
        <v>Part 1 Total Score</v>
      </c>
      <c r="E7">
        <f>IFERROR(VLOOKUP($B7,Tabulation!$A$2:$E$100,E$1,FALSE),"")</f>
        <v>0</v>
      </c>
    </row>
    <row r="8" spans="2:5" x14ac:dyDescent="0.2">
      <c r="B8">
        <v>6</v>
      </c>
      <c r="C8" t="str">
        <f>IFERROR(VLOOKUP($B8,Tabulation!$A$2:$E$100,C$1,FALSE),"")</f>
        <v>PART 2</v>
      </c>
      <c r="D8" t="str">
        <f>IFERROR(VLOOKUP($B8,Tabulation!$A$2:$E$100,D$1,FALSE),"")</f>
        <v>–  BUILDING ENERGY PERFORMANCE</v>
      </c>
      <c r="E8" t="str">
        <f>IFERROR(VLOOKUP($B8,Tabulation!$A$2:$E$100,E$1,FALSE),"")</f>
        <v/>
      </c>
    </row>
    <row r="9" spans="2:5" x14ac:dyDescent="0.2">
      <c r="B9">
        <v>7</v>
      </c>
      <c r="C9" t="str">
        <f>IFERROR(VLOOKUP($B9,Tabulation!$A$2:$E$100,C$1,FALSE),"")</f>
        <v>P.4</v>
      </c>
      <c r="D9" t="str">
        <f>IFERROR(VLOOKUP($B9,Tabulation!$A$2:$E$100,D$1,FALSE),"")</f>
        <v>Air Conditioning Total System and Component Efficiency</v>
      </c>
      <c r="E9" t="str">
        <f>IFERROR(VLOOKUP($B9,Tabulation!$A$2:$E$100,E$1,FALSE),"")</f>
        <v/>
      </c>
    </row>
    <row r="10" spans="2:5" x14ac:dyDescent="0.2">
      <c r="B10">
        <v>8</v>
      </c>
      <c r="C10" t="str">
        <f>IFERROR(VLOOKUP($B10,Tabulation!$A$2:$E$100,C$1,FALSE),"")</f>
        <v>P.5</v>
      </c>
      <c r="D10" t="str">
        <f>IFERROR(VLOOKUP($B10,Tabulation!$A$2:$E$100,D$1,FALSE),"")</f>
        <v>Lighting Efficiency and Controls</v>
      </c>
      <c r="E10" t="str">
        <f>IFERROR(VLOOKUP($B10,Tabulation!$A$2:$E$100,E$1,FALSE),"")</f>
        <v/>
      </c>
    </row>
    <row r="11" spans="2:5" x14ac:dyDescent="0.2">
      <c r="B11">
        <v>9</v>
      </c>
      <c r="C11" t="str">
        <f>IFERROR(VLOOKUP($B11,Tabulation!$A$2:$E$100,C$1,FALSE),"")</f>
        <v>P.6</v>
      </c>
      <c r="D11" t="str">
        <f>IFERROR(VLOOKUP($B11,Tabulation!$A$2:$E$100,D$1,FALSE),"")</f>
        <v>Vertical Transportation Efficiency</v>
      </c>
      <c r="E11" t="str">
        <f>IFERROR(VLOOKUP($B11,Tabulation!$A$2:$E$100,E$1,FALSE),"")</f>
        <v/>
      </c>
    </row>
    <row r="12" spans="2:5" x14ac:dyDescent="0.2">
      <c r="B12">
        <v>10</v>
      </c>
      <c r="C12" t="str">
        <f>IFERROR(VLOOKUP($B12,Tabulation!$A$2:$E$100,C$1,FALSE),"")</f>
        <v/>
      </c>
      <c r="D12" t="str">
        <f>IFERROR(VLOOKUP($B12,Tabulation!$A$2:$E$100,D$1,FALSE),"")</f>
        <v/>
      </c>
      <c r="E12" t="str">
        <f>IFERROR(VLOOKUP($B12,Tabulation!$A$2:$E$100,E$1,FALSE),"")</f>
        <v/>
      </c>
    </row>
    <row r="13" spans="2:5" x14ac:dyDescent="0.2">
      <c r="B13">
        <v>11</v>
      </c>
      <c r="C13" t="str">
        <f>IFERROR(VLOOKUP($B13,Tabulation!$A$2:$E$100,C$1,FALSE),"")</f>
        <v/>
      </c>
      <c r="D13" t="str">
        <f>IFERROR(VLOOKUP($B13,Tabulation!$A$2:$E$100,D$1,FALSE),"")</f>
        <v/>
      </c>
      <c r="E13" t="str">
        <f>IFERROR(VLOOKUP($B13,Tabulation!$A$2:$E$100,E$1,FALSE),"")</f>
        <v/>
      </c>
    </row>
    <row r="14" spans="2:5" x14ac:dyDescent="0.2">
      <c r="B14">
        <v>12</v>
      </c>
      <c r="C14" t="str">
        <f>IFERROR(VLOOKUP($B14,Tabulation!$A$2:$E$100,C$1,FALSE),"")</f>
        <v/>
      </c>
      <c r="D14" t="str">
        <f>IFERROR(VLOOKUP($B14,Tabulation!$A$2:$E$100,D$1,FALSE),"")</f>
        <v/>
      </c>
      <c r="E14" t="str">
        <f>IFERROR(VLOOKUP($B14,Tabulation!$A$2:$E$100,E$1,FALSE),"")</f>
        <v/>
      </c>
    </row>
    <row r="15" spans="2:5" x14ac:dyDescent="0.2">
      <c r="B15">
        <v>13</v>
      </c>
      <c r="C15" t="str">
        <f>IFERROR(VLOOKUP($B15,Tabulation!$A$2:$E$100,C$1,FALSE),"")</f>
        <v/>
      </c>
      <c r="D15" t="str">
        <f>IFERROR(VLOOKUP($B15,Tabulation!$A$2:$E$100,D$1,FALSE),"")</f>
        <v/>
      </c>
      <c r="E15" t="str">
        <f>IFERROR(VLOOKUP($B15,Tabulation!$A$2:$E$100,E$1,FALSE),"")</f>
        <v/>
      </c>
    </row>
  </sheetData>
  <sheetProtection algorithmName="SHA-512" hashValue="4qab4l8ybdUTG2NaAM/V2OTJ6u0+HquSQYEALaBZHVNAZZOBZYjnGExjphWsajiYUQI/wqC9sxbeu53Hn87/0Q==" saltValue="opOH8mSMYjvork27ietWLQ==" spinCount="100000" sheet="1" objects="1" scenarios="1"/>
  <conditionalFormatting sqref="C3:E15">
    <cfRule type="expression" dxfId="5" priority="1">
      <formula>$C3="PART 5"</formula>
    </cfRule>
    <cfRule type="expression" dxfId="4" priority="2">
      <formula>$C3="PART 4"</formula>
    </cfRule>
    <cfRule type="expression" dxfId="3" priority="3">
      <formula>$C3="PART 3"</formula>
    </cfRule>
    <cfRule type="expression" dxfId="2" priority="4">
      <formula>$C3="PART 2"</formula>
    </cfRule>
    <cfRule type="expression" dxfId="1" priority="6">
      <formula>$C3="PART 1"</formula>
    </cfRule>
  </conditionalFormatting>
  <conditionalFormatting sqref="D3:E3">
    <cfRule type="expression" dxfId="0" priority="5">
      <formula>$C3="PART 1"</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52"/>
  <sheetViews>
    <sheetView tabSelected="1" view="pageBreakPreview" topLeftCell="A25" zoomScale="130" zoomScaleNormal="100" zoomScaleSheetLayoutView="130" zoomScalePageLayoutView="85" workbookViewId="0">
      <selection activeCell="G28" sqref="G28"/>
    </sheetView>
  </sheetViews>
  <sheetFormatPr defaultColWidth="11.5703125" defaultRowHeight="12.75" x14ac:dyDescent="0.2"/>
  <cols>
    <col min="1" max="1" width="5.7109375" style="71" customWidth="1"/>
    <col min="2" max="2" width="38.7109375" style="71" customWidth="1"/>
    <col min="3" max="3" width="13.7109375" style="71" customWidth="1"/>
    <col min="4" max="4" width="13.7109375" style="321" customWidth="1"/>
    <col min="5" max="5" width="13.7109375" style="71" customWidth="1"/>
    <col min="6" max="6" width="5.7109375" style="71" customWidth="1"/>
    <col min="7" max="7" width="38.7109375" style="71" customWidth="1"/>
    <col min="8" max="10" width="13.7109375" style="71" customWidth="1"/>
    <col min="11" max="16384" width="11.5703125" style="71"/>
  </cols>
  <sheetData>
    <row r="1" spans="1:16" ht="15.75" x14ac:dyDescent="0.25">
      <c r="A1" s="406" t="s">
        <v>2</v>
      </c>
      <c r="B1" s="406"/>
      <c r="C1" s="406"/>
      <c r="D1" s="406"/>
      <c r="E1" s="406"/>
      <c r="F1" s="406" t="s">
        <v>2</v>
      </c>
      <c r="G1" s="406"/>
      <c r="H1" s="406"/>
      <c r="I1" s="406"/>
      <c r="J1" s="406"/>
    </row>
    <row r="2" spans="1:16" x14ac:dyDescent="0.2">
      <c r="A2" s="290"/>
      <c r="B2" s="290"/>
      <c r="C2" s="290"/>
      <c r="D2" s="291"/>
      <c r="E2" s="290"/>
      <c r="F2" s="290"/>
      <c r="G2" s="292"/>
      <c r="H2" s="290"/>
      <c r="I2" s="290"/>
      <c r="J2" s="290"/>
    </row>
    <row r="3" spans="1:16" ht="24" x14ac:dyDescent="0.2">
      <c r="A3" s="290"/>
      <c r="B3" s="290"/>
      <c r="C3" s="295" t="s">
        <v>3</v>
      </c>
      <c r="D3" s="322" t="s">
        <v>4</v>
      </c>
      <c r="E3" s="295" t="s">
        <v>5</v>
      </c>
      <c r="F3" s="290"/>
      <c r="G3" s="292"/>
      <c r="H3" s="295" t="s">
        <v>3</v>
      </c>
      <c r="I3" s="295" t="s">
        <v>4</v>
      </c>
      <c r="J3" s="323" t="s">
        <v>5</v>
      </c>
    </row>
    <row r="4" spans="1:16" x14ac:dyDescent="0.2">
      <c r="A4" s="412" t="s">
        <v>6</v>
      </c>
      <c r="B4" s="412"/>
      <c r="C4" s="293">
        <v>30</v>
      </c>
      <c r="D4" s="335">
        <f>D8+D13+D16</f>
        <v>0</v>
      </c>
      <c r="E4" s="293"/>
      <c r="F4" s="410" t="s">
        <v>7</v>
      </c>
      <c r="G4" s="410"/>
      <c r="H4" s="294">
        <v>30</v>
      </c>
      <c r="I4" s="336">
        <f>I13+I17+I21</f>
        <v>0</v>
      </c>
      <c r="J4" s="294"/>
    </row>
    <row r="5" spans="1:16" ht="18" x14ac:dyDescent="0.25">
      <c r="A5" s="295" t="s">
        <v>204</v>
      </c>
      <c r="B5" s="296" t="s">
        <v>8</v>
      </c>
      <c r="C5" s="290"/>
      <c r="D5" s="291" t="str">
        <f>IF(ISNUMBER(SEARCH("TRUE",'Part 1 - CRD'!$G$3)),"Comply","Non-Compliant")</f>
        <v>Non-Compliant</v>
      </c>
      <c r="E5" s="290"/>
      <c r="F5" s="295" t="s">
        <v>233</v>
      </c>
      <c r="G5" s="296" t="s">
        <v>9</v>
      </c>
      <c r="H5" s="290"/>
      <c r="I5" s="291" t="str">
        <f>IF(ISNUMBER(SEARCH("TRUE",'Part 4 - SHB'!G3)),"Comply","Non-Compliant")</f>
        <v>Non-Compliant</v>
      </c>
      <c r="J5" s="290"/>
      <c r="L5" s="297"/>
      <c r="P5" s="298"/>
    </row>
    <row r="6" spans="1:16" x14ac:dyDescent="0.2">
      <c r="A6" s="295" t="s">
        <v>205</v>
      </c>
      <c r="B6" s="296" t="s">
        <v>10</v>
      </c>
      <c r="C6" s="290"/>
      <c r="D6" s="291" t="str">
        <f>IF(ISNUMBER(SEARCH("TRUE",'Part 1 - CRD'!$G$4)),"Comply","Non-Compliant")</f>
        <v>Non-Compliant</v>
      </c>
      <c r="E6" s="290"/>
      <c r="F6" s="295" t="s">
        <v>234</v>
      </c>
      <c r="G6" s="296" t="s">
        <v>11</v>
      </c>
      <c r="H6" s="290"/>
      <c r="I6" s="291" t="str">
        <f>IF(ISNUMBER(SEARCH("TRUE",'Part 4 - SHB'!G4)),"Comply","Non-Compliant")</f>
        <v>Non-Compliant</v>
      </c>
      <c r="J6" s="290"/>
      <c r="L6" s="299"/>
      <c r="P6" s="298"/>
    </row>
    <row r="7" spans="1:16" x14ac:dyDescent="0.2">
      <c r="A7" s="295" t="s">
        <v>206</v>
      </c>
      <c r="B7" s="296" t="s">
        <v>12</v>
      </c>
      <c r="C7" s="290"/>
      <c r="D7" s="291" t="str">
        <f>IF(ISNUMBER(SEARCH("TRUE",'Part 1 - CRD'!$G$5)),"Comply","Non-Compliant")</f>
        <v>Non-Compliant</v>
      </c>
      <c r="E7" s="290"/>
      <c r="F7" s="295" t="s">
        <v>13</v>
      </c>
      <c r="G7" s="296" t="s">
        <v>14</v>
      </c>
      <c r="H7" s="290"/>
      <c r="I7" s="291" t="str">
        <f>IF(ISNUMBER(SEARCH("TRUE",'Part 4 - SHB'!G5)),"Comply","Non-Compliant")</f>
        <v>Non-Compliant</v>
      </c>
      <c r="J7" s="290"/>
    </row>
    <row r="8" spans="1:16" x14ac:dyDescent="0.2">
      <c r="A8" s="300">
        <v>1.1000000000000001</v>
      </c>
      <c r="B8" s="300" t="s">
        <v>15</v>
      </c>
      <c r="C8" s="301">
        <v>10</v>
      </c>
      <c r="D8" s="334">
        <f>'Part 1 - CRD'!E8</f>
        <v>0</v>
      </c>
      <c r="E8" s="302"/>
      <c r="F8" s="295" t="s">
        <v>16</v>
      </c>
      <c r="G8" s="296" t="s">
        <v>17</v>
      </c>
      <c r="H8" s="290"/>
      <c r="I8" s="291" t="str">
        <f>IF(ISNUMBER(SEARCH("TRUE",'Part 4 - SHB'!G6)),"Comply","Non-Compliant")</f>
        <v>Non-Compliant</v>
      </c>
      <c r="J8" s="290"/>
    </row>
    <row r="9" spans="1:16" x14ac:dyDescent="0.2">
      <c r="A9" s="295" t="s">
        <v>207</v>
      </c>
      <c r="B9" s="296" t="s">
        <v>18</v>
      </c>
      <c r="C9" s="295">
        <v>1</v>
      </c>
      <c r="D9" s="303">
        <f>'Part 1 - CRD'!E10</f>
        <v>0</v>
      </c>
      <c r="E9" s="295"/>
      <c r="F9" s="295" t="s">
        <v>19</v>
      </c>
      <c r="G9" s="296" t="s">
        <v>20</v>
      </c>
      <c r="H9" s="290"/>
      <c r="I9" s="291" t="str">
        <f>IF(ISNUMBER(SEARCH("TRUE",'Part 4 - SHB'!G7)),"Comply","Non-Compliant")</f>
        <v>Non-Compliant</v>
      </c>
      <c r="J9" s="290"/>
    </row>
    <row r="10" spans="1:16" x14ac:dyDescent="0.2">
      <c r="A10" s="295" t="s">
        <v>208</v>
      </c>
      <c r="B10" s="296" t="s">
        <v>21</v>
      </c>
      <c r="C10" s="295">
        <v>4</v>
      </c>
      <c r="D10" s="303">
        <f>'Part 1 - CRD'!E13</f>
        <v>0</v>
      </c>
      <c r="E10" s="295"/>
      <c r="F10" s="295" t="s">
        <v>22</v>
      </c>
      <c r="G10" s="296" t="s">
        <v>23</v>
      </c>
      <c r="H10" s="290"/>
      <c r="I10" s="291" t="str">
        <f>IF(ISNUMBER(SEARCH("TRUE",'Part 4 - SHB'!G8)),"Comply","Non-Compliant")</f>
        <v>Non-Compliant</v>
      </c>
      <c r="J10" s="290"/>
    </row>
    <row r="11" spans="1:16" x14ac:dyDescent="0.2">
      <c r="A11" s="295" t="s">
        <v>209</v>
      </c>
      <c r="B11" s="296" t="s">
        <v>24</v>
      </c>
      <c r="C11" s="295">
        <v>2</v>
      </c>
      <c r="D11" s="303">
        <f>'Part 1 - CRD'!E23</f>
        <v>0</v>
      </c>
      <c r="E11" s="295"/>
      <c r="F11" s="295" t="s">
        <v>25</v>
      </c>
      <c r="G11" s="253" t="s">
        <v>123</v>
      </c>
      <c r="H11" s="290"/>
      <c r="I11" s="291" t="str">
        <f>IF(ISNUMBER(SEARCH("TRUE",'Part 4 - SHB'!G9)),"Comply","Non-Compliant")</f>
        <v>Non-Compliant</v>
      </c>
      <c r="J11" s="290"/>
    </row>
    <row r="12" spans="1:16" x14ac:dyDescent="0.2">
      <c r="A12" s="295" t="s">
        <v>210</v>
      </c>
      <c r="B12" s="296" t="s">
        <v>28</v>
      </c>
      <c r="C12" s="295">
        <v>3</v>
      </c>
      <c r="D12" s="303">
        <f>'Part 1 - CRD'!E30</f>
        <v>0</v>
      </c>
      <c r="E12" s="295"/>
      <c r="F12" s="295" t="s">
        <v>26</v>
      </c>
      <c r="G12" s="296" t="s">
        <v>27</v>
      </c>
      <c r="H12" s="290"/>
      <c r="I12" s="291" t="str">
        <f>IF(ISNUMBER(SEARCH("TRUE",'Part 4 - SHB'!G10)),"Comply","Non-Compliant")</f>
        <v>Non-Compliant</v>
      </c>
      <c r="J12" s="290"/>
    </row>
    <row r="13" spans="1:16" x14ac:dyDescent="0.2">
      <c r="A13" s="300">
        <v>1.2</v>
      </c>
      <c r="B13" s="300" t="s">
        <v>30</v>
      </c>
      <c r="C13" s="301">
        <v>10</v>
      </c>
      <c r="D13" s="334">
        <f>'Part 1 - CRD'!E35</f>
        <v>0</v>
      </c>
      <c r="E13" s="302"/>
      <c r="F13" s="304">
        <v>4.0999999999999996</v>
      </c>
      <c r="G13" s="304" t="s">
        <v>29</v>
      </c>
      <c r="H13" s="305">
        <v>10</v>
      </c>
      <c r="I13" s="337">
        <f>'Part 4 - SHB'!E13</f>
        <v>0</v>
      </c>
      <c r="J13" s="306"/>
    </row>
    <row r="14" spans="1:16" x14ac:dyDescent="0.2">
      <c r="A14" s="295" t="s">
        <v>211</v>
      </c>
      <c r="B14" s="296" t="s">
        <v>32</v>
      </c>
      <c r="C14" s="295">
        <v>5</v>
      </c>
      <c r="D14" s="303">
        <f>'Part 1 - CRD'!E37</f>
        <v>0</v>
      </c>
      <c r="E14" s="295"/>
      <c r="F14" s="295" t="s">
        <v>235</v>
      </c>
      <c r="G14" s="296" t="s">
        <v>31</v>
      </c>
      <c r="H14" s="295">
        <v>2</v>
      </c>
      <c r="I14" s="303">
        <f>'Part 4 - SHB'!E15</f>
        <v>0</v>
      </c>
      <c r="J14" s="295"/>
    </row>
    <row r="15" spans="1:16" x14ac:dyDescent="0.2">
      <c r="A15" s="295" t="s">
        <v>212</v>
      </c>
      <c r="B15" s="296" t="s">
        <v>34</v>
      </c>
      <c r="C15" s="295">
        <v>5</v>
      </c>
      <c r="D15" s="303">
        <f>'Part 1 - CRD'!E48</f>
        <v>0</v>
      </c>
      <c r="E15" s="295"/>
      <c r="F15" s="295" t="s">
        <v>236</v>
      </c>
      <c r="G15" s="296" t="s">
        <v>33</v>
      </c>
      <c r="H15" s="295">
        <v>3</v>
      </c>
      <c r="I15" s="303">
        <f>'Part 4 - SHB'!E26</f>
        <v>0</v>
      </c>
      <c r="J15" s="295"/>
    </row>
    <row r="16" spans="1:16" x14ac:dyDescent="0.2">
      <c r="A16" s="300">
        <v>1.3</v>
      </c>
      <c r="B16" s="300" t="s">
        <v>36</v>
      </c>
      <c r="C16" s="301">
        <v>10</v>
      </c>
      <c r="D16" s="334">
        <f>'Part 1 - CRD'!E61</f>
        <v>0</v>
      </c>
      <c r="E16" s="302"/>
      <c r="F16" s="295" t="s">
        <v>237</v>
      </c>
      <c r="G16" s="296" t="s">
        <v>35</v>
      </c>
      <c r="H16" s="295">
        <v>5</v>
      </c>
      <c r="I16" s="303">
        <f>'Part 4 - SHB'!E34</f>
        <v>0</v>
      </c>
      <c r="J16" s="295"/>
    </row>
    <row r="17" spans="1:10" x14ac:dyDescent="0.2">
      <c r="A17" s="295" t="s">
        <v>213</v>
      </c>
      <c r="B17" s="296" t="s">
        <v>38</v>
      </c>
      <c r="C17" s="295">
        <v>3</v>
      </c>
      <c r="D17" s="303">
        <f>'Part 1 - CRD'!E63</f>
        <v>0</v>
      </c>
      <c r="E17" s="295"/>
      <c r="F17" s="304">
        <v>4.2</v>
      </c>
      <c r="G17" s="304" t="s">
        <v>37</v>
      </c>
      <c r="H17" s="305">
        <v>10</v>
      </c>
      <c r="I17" s="337">
        <f>'Part 4 - SHB'!E49</f>
        <v>0</v>
      </c>
      <c r="J17" s="306"/>
    </row>
    <row r="18" spans="1:10" x14ac:dyDescent="0.2">
      <c r="A18" s="295" t="s">
        <v>214</v>
      </c>
      <c r="B18" s="296" t="s">
        <v>40</v>
      </c>
      <c r="C18" s="295">
        <v>3</v>
      </c>
      <c r="D18" s="303">
        <f>'Part 1 - CRD'!E71</f>
        <v>0</v>
      </c>
      <c r="E18" s="295"/>
      <c r="F18" s="295" t="s">
        <v>264</v>
      </c>
      <c r="G18" s="296" t="s">
        <v>39</v>
      </c>
      <c r="H18" s="295">
        <v>6</v>
      </c>
      <c r="I18" s="303">
        <f>'Part 4 - SHB'!E50</f>
        <v>0</v>
      </c>
      <c r="J18" s="295"/>
    </row>
    <row r="19" spans="1:10" x14ac:dyDescent="0.2">
      <c r="A19" s="295" t="s">
        <v>215</v>
      </c>
      <c r="B19" s="296" t="s">
        <v>42</v>
      </c>
      <c r="C19" s="295">
        <v>4</v>
      </c>
      <c r="D19" s="303">
        <f>'Part 1 - CRD'!E77</f>
        <v>0</v>
      </c>
      <c r="E19" s="295"/>
      <c r="F19" s="295" t="s">
        <v>265</v>
      </c>
      <c r="G19" s="296" t="s">
        <v>41</v>
      </c>
      <c r="H19" s="295">
        <v>2</v>
      </c>
      <c r="I19" s="303">
        <f>'Part 4 - SHB'!E61</f>
        <v>0</v>
      </c>
      <c r="J19" s="295"/>
    </row>
    <row r="20" spans="1:10" x14ac:dyDescent="0.2">
      <c r="A20" s="413" t="s">
        <v>44</v>
      </c>
      <c r="B20" s="413"/>
      <c r="C20" s="307">
        <v>30</v>
      </c>
      <c r="D20" s="333">
        <f>D24+D33</f>
        <v>0</v>
      </c>
      <c r="E20" s="307"/>
      <c r="F20" s="295" t="s">
        <v>266</v>
      </c>
      <c r="G20" s="296" t="s">
        <v>43</v>
      </c>
      <c r="H20" s="295">
        <v>2</v>
      </c>
      <c r="I20" s="303">
        <f>'Part 4 - SHB'!E66</f>
        <v>0</v>
      </c>
      <c r="J20" s="295"/>
    </row>
    <row r="21" spans="1:10" x14ac:dyDescent="0.2">
      <c r="A21" s="295" t="s">
        <v>216</v>
      </c>
      <c r="B21" s="296" t="s">
        <v>46</v>
      </c>
      <c r="C21" s="290"/>
      <c r="D21" s="291" t="str">
        <f>IF(ISNUMBER(SEARCH("TRUE",'Part 2 - BEP'!G3)),"Comply","Non-Compliant")</f>
        <v>Non-Compliant</v>
      </c>
      <c r="E21" s="290"/>
      <c r="F21" s="304">
        <v>4.3</v>
      </c>
      <c r="G21" s="304" t="s">
        <v>45</v>
      </c>
      <c r="H21" s="305">
        <v>10</v>
      </c>
      <c r="I21" s="337">
        <f>'Part 4 - SHB'!E73</f>
        <v>0</v>
      </c>
      <c r="J21" s="306"/>
    </row>
    <row r="22" spans="1:10" x14ac:dyDescent="0.2">
      <c r="A22" s="295" t="s">
        <v>217</v>
      </c>
      <c r="B22" s="296" t="s">
        <v>48</v>
      </c>
      <c r="C22" s="290"/>
      <c r="D22" s="291" t="str">
        <f>IF(ISNUMBER(SEARCH("TRUE",'Part 2 - BEP'!G4)),"Comply","Non-Compliant")</f>
        <v>Non-Compliant</v>
      </c>
      <c r="E22" s="290"/>
      <c r="F22" s="295" t="s">
        <v>238</v>
      </c>
      <c r="G22" s="296" t="s">
        <v>47</v>
      </c>
      <c r="H22" s="295">
        <v>3</v>
      </c>
      <c r="I22" s="303">
        <f>'Part 4 - SHB'!E75</f>
        <v>0</v>
      </c>
      <c r="J22" s="295"/>
    </row>
    <row r="23" spans="1:10" x14ac:dyDescent="0.2">
      <c r="A23" s="295" t="s">
        <v>218</v>
      </c>
      <c r="B23" s="296" t="s">
        <v>50</v>
      </c>
      <c r="C23" s="290"/>
      <c r="D23" s="291" t="str">
        <f>IF(ISNUMBER(SEARCH("TRUE",'Part 2 - BEP'!G5)),"Comply","Non-Compliant")</f>
        <v>Non-Compliant</v>
      </c>
      <c r="E23" s="290"/>
      <c r="F23" s="295" t="s">
        <v>239</v>
      </c>
      <c r="G23" s="296" t="s">
        <v>49</v>
      </c>
      <c r="H23" s="295">
        <v>3</v>
      </c>
      <c r="I23" s="303">
        <f>'Part 4 - SHB'!E84</f>
        <v>0</v>
      </c>
      <c r="J23" s="295"/>
    </row>
    <row r="24" spans="1:10" x14ac:dyDescent="0.2">
      <c r="A24" s="308">
        <v>2.1</v>
      </c>
      <c r="B24" s="308" t="s">
        <v>52</v>
      </c>
      <c r="C24" s="309">
        <v>22</v>
      </c>
      <c r="D24" s="330">
        <f>'Part 2 - BEP'!E8</f>
        <v>0</v>
      </c>
      <c r="E24" s="309"/>
      <c r="F24" s="295" t="s">
        <v>240</v>
      </c>
      <c r="G24" s="296" t="s">
        <v>51</v>
      </c>
      <c r="H24" s="295">
        <v>3</v>
      </c>
      <c r="I24" s="303">
        <f>'Part 4 - SHB'!E92</f>
        <v>0</v>
      </c>
      <c r="J24" s="295"/>
    </row>
    <row r="25" spans="1:10" x14ac:dyDescent="0.2">
      <c r="A25" s="295" t="s">
        <v>219</v>
      </c>
      <c r="B25" s="296" t="str">
        <f>'Part 2 - BEP'!B11</f>
        <v>Air Conditioning Total System Efficiency</v>
      </c>
      <c r="C25" s="295">
        <v>5</v>
      </c>
      <c r="D25" s="303">
        <f>'Part 2 - BEP'!E11</f>
        <v>0</v>
      </c>
      <c r="E25" s="295"/>
      <c r="F25" s="295" t="s">
        <v>241</v>
      </c>
      <c r="G25" s="296" t="s">
        <v>53</v>
      </c>
      <c r="H25" s="295">
        <v>1</v>
      </c>
      <c r="I25" s="303">
        <f>'Part 4 - SHB'!E101</f>
        <v>0</v>
      </c>
      <c r="J25" s="295"/>
    </row>
    <row r="26" spans="1:10" x14ac:dyDescent="0.2">
      <c r="A26" s="295" t="s">
        <v>220</v>
      </c>
      <c r="B26" s="296" t="str">
        <f>'Part 2 - BEP'!B13</f>
        <v>Lighting System Efficiency</v>
      </c>
      <c r="C26" s="295">
        <v>3</v>
      </c>
      <c r="D26" s="303">
        <f>'Part 2 - BEP'!E13</f>
        <v>0</v>
      </c>
      <c r="E26" s="295"/>
      <c r="F26" s="411" t="s">
        <v>55</v>
      </c>
      <c r="G26" s="411"/>
      <c r="H26" s="310">
        <v>20</v>
      </c>
      <c r="I26" s="338">
        <f>I27+I28+I29+I30</f>
        <v>0</v>
      </c>
      <c r="J26" s="310"/>
    </row>
    <row r="27" spans="1:10" x14ac:dyDescent="0.2">
      <c r="A27" s="295" t="s">
        <v>221</v>
      </c>
      <c r="B27" s="296" t="str">
        <f>'Part 2 - BEP'!B15</f>
        <v>Carpark System Energy</v>
      </c>
      <c r="C27" s="295">
        <v>2</v>
      </c>
      <c r="D27" s="303">
        <f>'Part 2 - BEP'!E15</f>
        <v>0</v>
      </c>
      <c r="E27" s="295"/>
      <c r="F27" s="296">
        <v>5.0999999999999996</v>
      </c>
      <c r="G27" s="296" t="s">
        <v>57</v>
      </c>
      <c r="H27" s="295">
        <v>15</v>
      </c>
      <c r="I27" s="303">
        <f>'Part 5 - AGE'!E4</f>
        <v>0</v>
      </c>
      <c r="J27" s="295"/>
    </row>
    <row r="28" spans="1:10" x14ac:dyDescent="0.2">
      <c r="A28" s="295" t="s">
        <v>222</v>
      </c>
      <c r="B28" s="296" t="str">
        <f>'Part 2 - BEP'!B17</f>
        <v>Receptacle Energy</v>
      </c>
      <c r="C28" s="295">
        <v>1</v>
      </c>
      <c r="D28" s="303">
        <f>'Part 2 - BEP'!E17</f>
        <v>0</v>
      </c>
      <c r="E28" s="295"/>
      <c r="F28" s="296">
        <v>5.2</v>
      </c>
      <c r="G28" s="296" t="s">
        <v>61</v>
      </c>
      <c r="H28" s="295">
        <v>1</v>
      </c>
      <c r="I28" s="303">
        <f>'Part 5 - AGE'!E37</f>
        <v>0</v>
      </c>
      <c r="J28" s="295"/>
    </row>
    <row r="29" spans="1:10" x14ac:dyDescent="0.2">
      <c r="A29" s="295" t="s">
        <v>243</v>
      </c>
      <c r="B29" s="296" t="str">
        <f>'Part 2 - BEP'!B21</f>
        <v>Building Energy</v>
      </c>
      <c r="C29" s="295">
        <v>11</v>
      </c>
      <c r="D29" s="303">
        <f>'Part 2 - BEP'!E21</f>
        <v>0</v>
      </c>
      <c r="E29" s="295"/>
      <c r="F29" s="296">
        <v>5.3</v>
      </c>
      <c r="G29" s="296" t="s">
        <v>59</v>
      </c>
      <c r="H29" s="295">
        <v>2</v>
      </c>
      <c r="I29" s="303">
        <f>'Part 5 - AGE'!E41</f>
        <v>0</v>
      </c>
      <c r="J29" s="295"/>
    </row>
    <row r="30" spans="1:10" x14ac:dyDescent="0.2">
      <c r="A30" s="71" t="s">
        <v>245</v>
      </c>
      <c r="B30" s="296" t="str">
        <f>'Part 2 - BEP'!B26</f>
        <v>Space Conditioning Performance</v>
      </c>
      <c r="C30" s="71">
        <f>'Part 2 - BEP'!D26</f>
        <v>10</v>
      </c>
      <c r="D30" s="303">
        <f>'Part 2 - BEP'!E26</f>
        <v>0</v>
      </c>
      <c r="F30" s="296">
        <v>5.4</v>
      </c>
      <c r="G30" s="296" t="s">
        <v>62</v>
      </c>
      <c r="H30" s="295">
        <v>2</v>
      </c>
      <c r="I30" s="303">
        <f>'Part 5 - AGE'!E46</f>
        <v>0</v>
      </c>
      <c r="J30" s="295"/>
    </row>
    <row r="31" spans="1:10" x14ac:dyDescent="0.2">
      <c r="A31" s="71" t="s">
        <v>247</v>
      </c>
      <c r="B31" s="296" t="str">
        <f>'Part 2 - BEP'!B39</f>
        <v>Lighting System Performance</v>
      </c>
      <c r="C31" s="71">
        <f>'Part 2 - BEP'!D39</f>
        <v>6</v>
      </c>
      <c r="D31" s="303">
        <f>'Part 2 - BEP'!E39</f>
        <v>0</v>
      </c>
      <c r="F31" s="414" t="s">
        <v>395</v>
      </c>
      <c r="G31" s="414"/>
      <c r="H31" s="341">
        <v>15</v>
      </c>
      <c r="I31" s="342">
        <f>SUM(I32:I35)</f>
        <v>0</v>
      </c>
      <c r="J31" s="341"/>
    </row>
    <row r="32" spans="1:10" x14ac:dyDescent="0.2">
      <c r="A32" s="71" t="s">
        <v>249</v>
      </c>
      <c r="B32" s="296" t="str">
        <f>'Part 2 - BEP'!B43</f>
        <v>Building Systems Perfomance</v>
      </c>
      <c r="C32" s="71">
        <f>'Part 2 - BEP'!D43</f>
        <v>6</v>
      </c>
      <c r="D32" s="303">
        <f>'Part 2 - BEP'!E43</f>
        <v>0</v>
      </c>
      <c r="F32" s="290">
        <v>1</v>
      </c>
      <c r="G32" s="296" t="s">
        <v>396</v>
      </c>
      <c r="H32" s="290">
        <v>15</v>
      </c>
      <c r="I32" s="370">
        <f>Annexes!E3</f>
        <v>0</v>
      </c>
      <c r="J32" s="290"/>
    </row>
    <row r="33" spans="1:10" x14ac:dyDescent="0.2">
      <c r="A33" s="308">
        <v>2.2000000000000002</v>
      </c>
      <c r="B33" s="308" t="s">
        <v>64</v>
      </c>
      <c r="C33" s="309">
        <v>8</v>
      </c>
      <c r="D33" s="330">
        <f>SUM(D34:D36)</f>
        <v>0</v>
      </c>
      <c r="E33" s="309"/>
      <c r="F33" s="71">
        <v>2</v>
      </c>
      <c r="G33" s="296" t="s">
        <v>397</v>
      </c>
      <c r="H33" s="71">
        <v>10</v>
      </c>
      <c r="I33" s="370">
        <f>Annexes!E4</f>
        <v>0</v>
      </c>
    </row>
    <row r="34" spans="1:10" x14ac:dyDescent="0.2">
      <c r="A34" s="295" t="s">
        <v>223</v>
      </c>
      <c r="B34" s="296" t="s">
        <v>65</v>
      </c>
      <c r="C34" s="295">
        <v>0.5</v>
      </c>
      <c r="D34" s="303">
        <f>'Part 2 - BEP'!E61</f>
        <v>0</v>
      </c>
      <c r="E34" s="295"/>
      <c r="F34" s="71">
        <v>3</v>
      </c>
      <c r="G34" s="296" t="s">
        <v>398</v>
      </c>
      <c r="H34" s="71">
        <v>10</v>
      </c>
      <c r="I34" s="370">
        <f>Annexes!E5</f>
        <v>0</v>
      </c>
    </row>
    <row r="35" spans="1:10" x14ac:dyDescent="0.2">
      <c r="A35" s="295" t="s">
        <v>323</v>
      </c>
      <c r="B35" s="296" t="s">
        <v>67</v>
      </c>
      <c r="C35" s="295">
        <v>1.5</v>
      </c>
      <c r="D35" s="303">
        <f>'Part 2 - BEP'!E64</f>
        <v>0</v>
      </c>
      <c r="E35" s="295"/>
      <c r="F35" s="71">
        <v>4</v>
      </c>
      <c r="G35" s="296" t="s">
        <v>399</v>
      </c>
      <c r="H35" s="71">
        <v>10</v>
      </c>
      <c r="I35" s="370">
        <f>Annexes!E6</f>
        <v>0</v>
      </c>
    </row>
    <row r="36" spans="1:10" x14ac:dyDescent="0.2">
      <c r="A36" s="295" t="s">
        <v>322</v>
      </c>
      <c r="B36" s="296" t="s">
        <v>68</v>
      </c>
      <c r="C36" s="295">
        <v>6</v>
      </c>
      <c r="D36" s="303">
        <f>'Part 2 - BEP'!E66</f>
        <v>0</v>
      </c>
      <c r="E36" s="295"/>
      <c r="F36" s="290"/>
      <c r="G36" s="296"/>
      <c r="H36" s="290"/>
      <c r="I36" s="290"/>
      <c r="J36" s="290"/>
    </row>
    <row r="37" spans="1:10" x14ac:dyDescent="0.2">
      <c r="A37" s="407" t="s">
        <v>70</v>
      </c>
      <c r="B37" s="407"/>
      <c r="C37" s="316">
        <v>30</v>
      </c>
      <c r="D37" s="331">
        <f>D39+D43+D47</f>
        <v>0</v>
      </c>
      <c r="E37" s="316"/>
      <c r="F37" s="409" t="s">
        <v>66</v>
      </c>
      <c r="G37" s="409"/>
      <c r="H37" s="311">
        <v>120</v>
      </c>
      <c r="I37" s="339">
        <f>D4+D20+D37+I4+I26+I31</f>
        <v>0</v>
      </c>
      <c r="J37" s="311"/>
    </row>
    <row r="38" spans="1:10" x14ac:dyDescent="0.2">
      <c r="A38" s="295" t="s">
        <v>224</v>
      </c>
      <c r="B38" s="296" t="s">
        <v>71</v>
      </c>
      <c r="C38" s="290"/>
      <c r="D38" s="291" t="str">
        <f>IF(ISNUMBER(SEARCH("TRUE",'Part 3 - RS'!G3)),"Comply","Non-Compliant")</f>
        <v>Non-Compliant</v>
      </c>
      <c r="E38" s="290"/>
      <c r="F38" s="408" t="s">
        <v>186</v>
      </c>
      <c r="G38" s="408"/>
      <c r="H38" s="312" t="s">
        <v>188</v>
      </c>
      <c r="I38" s="313" t="str">
        <f>IF(ISNUMBER(SEARCH("Pick",H38))," ",IF(ISNUMBER(SEARCH("Minimum Requirement",H38)),"TBC",IF(ISNUMBER(SEARCH("GoldPlus",H38)),"60-70",IF(ISNUMBER(SEARCH("Gold",H38)),"50-60",IF(ISNUMBER(SEARCH("Platinum",H38)),"70 and above")))))</f>
        <v>70 and above</v>
      </c>
      <c r="J38" s="314"/>
    </row>
    <row r="39" spans="1:10" x14ac:dyDescent="0.2">
      <c r="A39" s="317">
        <v>3.1</v>
      </c>
      <c r="B39" s="317" t="s">
        <v>72</v>
      </c>
      <c r="C39" s="318">
        <v>8</v>
      </c>
      <c r="D39" s="332">
        <f>'Part 3 - RS'!E6</f>
        <v>0</v>
      </c>
      <c r="E39" s="319"/>
      <c r="F39" s="409" t="s">
        <v>69</v>
      </c>
      <c r="G39" s="409"/>
      <c r="H39" s="311"/>
      <c r="I39" s="315" t="str">
        <f>IF(AND(I37&gt;=50,I37&lt;60),"Gold",IF(AND(I37&gt;=60,I37&lt;70),"GoldPlus",IF(AND(I37&gt;=70),"Platinum","Non-Compliant")))</f>
        <v>Non-Compliant</v>
      </c>
      <c r="J39" s="311"/>
    </row>
    <row r="40" spans="1:10" x14ac:dyDescent="0.2">
      <c r="A40" s="295" t="s">
        <v>225</v>
      </c>
      <c r="B40" s="296" t="s">
        <v>73</v>
      </c>
      <c r="C40" s="295">
        <v>3</v>
      </c>
      <c r="D40" s="303">
        <f>'Part 3 - RS'!E8</f>
        <v>0</v>
      </c>
      <c r="E40" s="295"/>
      <c r="F40" s="290"/>
      <c r="G40" s="290"/>
      <c r="H40" s="290"/>
      <c r="I40" s="290"/>
      <c r="J40" s="290"/>
    </row>
    <row r="41" spans="1:10" x14ac:dyDescent="0.2">
      <c r="A41" s="295" t="s">
        <v>226</v>
      </c>
      <c r="B41" s="296" t="s">
        <v>74</v>
      </c>
      <c r="C41" s="295">
        <v>2</v>
      </c>
      <c r="D41" s="303">
        <f>'Part 3 - RS'!E16</f>
        <v>0</v>
      </c>
      <c r="E41" s="295"/>
      <c r="F41" s="290"/>
      <c r="G41" s="290"/>
      <c r="H41" s="290"/>
      <c r="I41" s="290"/>
      <c r="J41" s="290"/>
    </row>
    <row r="42" spans="1:10" x14ac:dyDescent="0.2">
      <c r="A42" s="295" t="s">
        <v>227</v>
      </c>
      <c r="B42" s="296" t="s">
        <v>75</v>
      </c>
      <c r="C42" s="295">
        <v>3</v>
      </c>
      <c r="D42" s="303">
        <f>'Part 3 - RS'!E21</f>
        <v>0</v>
      </c>
      <c r="E42" s="295"/>
      <c r="F42" s="290"/>
      <c r="G42" s="290"/>
      <c r="H42" s="290"/>
      <c r="I42" s="290"/>
      <c r="J42" s="290"/>
    </row>
    <row r="43" spans="1:10" x14ac:dyDescent="0.2">
      <c r="A43" s="317">
        <v>3.2</v>
      </c>
      <c r="B43" s="317" t="s">
        <v>76</v>
      </c>
      <c r="C43" s="318">
        <v>18</v>
      </c>
      <c r="D43" s="332">
        <f>'Part 3 - RS'!E25</f>
        <v>0</v>
      </c>
      <c r="E43" s="319"/>
      <c r="F43" s="290"/>
      <c r="G43" s="290"/>
      <c r="H43" s="290"/>
      <c r="I43" s="290"/>
      <c r="J43" s="290"/>
    </row>
    <row r="44" spans="1:10" x14ac:dyDescent="0.2">
      <c r="A44" s="295" t="s">
        <v>228</v>
      </c>
      <c r="B44" s="296" t="s">
        <v>77</v>
      </c>
      <c r="C44" s="295">
        <v>8</v>
      </c>
      <c r="D44" s="303">
        <f>'Part 3 - RS'!E27</f>
        <v>0</v>
      </c>
      <c r="E44" s="295"/>
      <c r="F44" s="290"/>
      <c r="G44" s="290"/>
      <c r="H44" s="290"/>
      <c r="I44" s="290"/>
      <c r="J44" s="290"/>
    </row>
    <row r="45" spans="1:10" x14ac:dyDescent="0.2">
      <c r="A45" s="295" t="s">
        <v>229</v>
      </c>
      <c r="B45" s="296" t="s">
        <v>78</v>
      </c>
      <c r="C45" s="295">
        <v>2</v>
      </c>
      <c r="D45" s="303">
        <f>'Part 3 - RS'!E43</f>
        <v>0</v>
      </c>
      <c r="E45" s="295"/>
      <c r="F45" s="290"/>
      <c r="G45" s="290"/>
      <c r="H45" s="290"/>
      <c r="I45" s="290"/>
      <c r="J45" s="290"/>
    </row>
    <row r="46" spans="1:10" x14ac:dyDescent="0.2">
      <c r="A46" s="295" t="s">
        <v>230</v>
      </c>
      <c r="B46" s="296" t="s">
        <v>79</v>
      </c>
      <c r="C46" s="295">
        <v>8</v>
      </c>
      <c r="D46" s="303">
        <f>'Part 3 - RS'!E50</f>
        <v>0</v>
      </c>
      <c r="E46" s="295"/>
      <c r="F46" s="290"/>
      <c r="G46" s="290"/>
      <c r="H46" s="290"/>
      <c r="I46" s="290"/>
      <c r="J46" s="290"/>
    </row>
    <row r="47" spans="1:10" x14ac:dyDescent="0.2">
      <c r="A47" s="317">
        <v>3.3</v>
      </c>
      <c r="B47" s="317" t="s">
        <v>80</v>
      </c>
      <c r="C47" s="318">
        <v>4</v>
      </c>
      <c r="D47" s="332">
        <f>'Part 3 - RS'!E70</f>
        <v>0</v>
      </c>
      <c r="E47" s="319"/>
      <c r="F47" s="290"/>
      <c r="G47" s="290"/>
      <c r="H47" s="290"/>
      <c r="I47" s="290"/>
      <c r="J47" s="290"/>
    </row>
    <row r="48" spans="1:10" x14ac:dyDescent="0.2">
      <c r="A48" s="295" t="s">
        <v>231</v>
      </c>
      <c r="B48" s="296" t="s">
        <v>81</v>
      </c>
      <c r="C48" s="295">
        <v>1</v>
      </c>
      <c r="D48" s="303">
        <f>'Part 3 - RS'!E71</f>
        <v>0</v>
      </c>
      <c r="E48" s="295"/>
      <c r="F48" s="290"/>
      <c r="G48" s="290"/>
      <c r="H48" s="290"/>
      <c r="I48" s="290"/>
      <c r="J48" s="290"/>
    </row>
    <row r="49" spans="1:10" x14ac:dyDescent="0.2">
      <c r="A49" s="295" t="s">
        <v>232</v>
      </c>
      <c r="B49" s="296" t="s">
        <v>82</v>
      </c>
      <c r="C49" s="295">
        <v>3</v>
      </c>
      <c r="D49" s="303">
        <f>'Part 3 - RS'!E73</f>
        <v>0</v>
      </c>
      <c r="E49" s="295"/>
      <c r="F49" s="290"/>
      <c r="G49" s="290"/>
      <c r="H49" s="290"/>
      <c r="I49" s="290"/>
      <c r="J49" s="290"/>
    </row>
    <row r="50" spans="1:10" x14ac:dyDescent="0.2">
      <c r="A50" s="290"/>
      <c r="B50" s="290"/>
      <c r="C50" s="290"/>
      <c r="D50" s="291"/>
      <c r="E50" s="290"/>
      <c r="F50" s="290"/>
      <c r="G50" s="290"/>
      <c r="H50" s="290"/>
      <c r="I50" s="290"/>
      <c r="J50" s="290"/>
    </row>
    <row r="51" spans="1:10" ht="15.75" x14ac:dyDescent="0.25">
      <c r="A51" s="320"/>
      <c r="B51" s="290"/>
      <c r="C51" s="290"/>
      <c r="D51" s="291"/>
      <c r="E51" s="290"/>
      <c r="F51" s="290"/>
      <c r="G51" s="290"/>
      <c r="H51" s="290"/>
      <c r="I51" s="290"/>
      <c r="J51" s="290"/>
    </row>
    <row r="52" spans="1:10" x14ac:dyDescent="0.2">
      <c r="F52" s="290"/>
      <c r="G52" s="290"/>
      <c r="H52" s="290"/>
      <c r="I52" s="290"/>
      <c r="J52" s="290"/>
    </row>
  </sheetData>
  <sheetProtection algorithmName="SHA-512" hashValue="k6YWmoXCvUWOJrY/AXNzBcGrMBRpxlG7FkJ/Z3mImfKQd8wL6FomVr69qWMy7K9zN0IlYCg1ibPkPQdkTmvQXA==" saltValue="SYE4iiN9DBIFybwHwDv+Kw==" spinCount="100000" sheet="1" objects="1" scenarios="1"/>
  <mergeCells count="11">
    <mergeCell ref="F39:G39"/>
    <mergeCell ref="F4:G4"/>
    <mergeCell ref="F26:G26"/>
    <mergeCell ref="A4:B4"/>
    <mergeCell ref="A20:B20"/>
    <mergeCell ref="F31:G31"/>
    <mergeCell ref="A1:E1"/>
    <mergeCell ref="F1:J1"/>
    <mergeCell ref="A37:B37"/>
    <mergeCell ref="F38:G38"/>
    <mergeCell ref="F37:G37"/>
  </mergeCells>
  <conditionalFormatting sqref="I39">
    <cfRule type="containsText" dxfId="10" priority="6" operator="containsText" text="Non-Compliant">
      <formula>NOT(ISERROR(SEARCH("Non-Compliant",I39)))</formula>
    </cfRule>
  </conditionalFormatting>
  <conditionalFormatting sqref="C5">
    <cfRule type="iconSet" priority="4">
      <iconSet iconSet="3Symbols2">
        <cfvo type="percent" val="0"/>
        <cfvo type="percent" val="33"/>
        <cfvo type="percent" val="67"/>
      </iconSet>
    </cfRule>
  </conditionalFormatting>
  <conditionalFormatting sqref="D5:D7 D21:D23 D38 I5:I12">
    <cfRule type="cellIs" dxfId="9" priority="2" operator="equal">
      <formula>"Comply"</formula>
    </cfRule>
  </conditionalFormatting>
  <conditionalFormatting sqref="D5:D7 D21:D23 D38 I5:I12">
    <cfRule type="cellIs" dxfId="8" priority="1" operator="equal">
      <formula>"Non-Compliant"</formula>
    </cfRule>
  </conditionalFormatting>
  <dataValidations count="1">
    <dataValidation type="list" allowBlank="1" showInputMessage="1" showErrorMessage="1" sqref="H38" xr:uid="{00000000-0002-0000-0100-000000000000}">
      <formula1>"(Pick one),Minimum Requirement,Gold,GoldPlus,Platinum"</formula1>
    </dataValidation>
  </dataValidations>
  <pageMargins left="0.51181102362204722" right="0.51181102362204722" top="0.74803149606299213" bottom="0.74803149606299213" header="0.31496062992125984" footer="0.31496062992125984"/>
  <pageSetup paperSize="9" scale="108" fitToWidth="0" pageOrder="overThenDown" orientation="portrait" r:id="rId1"/>
  <headerFooter>
    <oddFooter>&amp;RPage &amp;P</oddFooter>
  </headerFooter>
  <extLst>
    <ext xmlns:x14="http://schemas.microsoft.com/office/spreadsheetml/2009/9/main" uri="{78C0D931-6437-407d-A8EE-F0AAD7539E65}">
      <x14:conditionalFormattings>
        <x14:conditionalFormatting xmlns:xm="http://schemas.microsoft.com/office/excel/2006/main">
          <x14:cfRule type="iconSet" priority="3" id="{E3BF809C-D9A4-4EE8-A194-57338F98BD8B}">
            <x14:iconSet iconSet="3Symbols2">
              <x14:cfvo type="percent">
                <xm:f>0</xm:f>
              </x14:cfvo>
              <x14:cfvo type="percent">
                <xm:f>33</xm:f>
              </x14:cfvo>
              <x14:cfvo type="formula">
                <xm:f>'Part 1 - CRD'!$G$3</xm:f>
              </x14:cfvo>
            </x14:iconSet>
          </x14:cfRule>
          <xm:sqref>C5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P118"/>
  <sheetViews>
    <sheetView view="pageBreakPreview" zoomScale="130" zoomScaleNormal="100" zoomScaleSheetLayoutView="130" workbookViewId="0">
      <selection activeCell="Q18" sqref="Q18"/>
    </sheetView>
  </sheetViews>
  <sheetFormatPr defaultColWidth="9.140625" defaultRowHeight="12.75" x14ac:dyDescent="0.2"/>
  <cols>
    <col min="1" max="1" width="6" style="14" customWidth="1"/>
    <col min="2" max="2" width="45.7109375" style="14" customWidth="1"/>
    <col min="3" max="3" width="7.5703125" style="77" customWidth="1"/>
    <col min="4" max="4" width="9.5703125" style="14" customWidth="1"/>
    <col min="5" max="5" width="7" style="38" customWidth="1"/>
    <col min="6" max="6" width="12.7109375" style="14" customWidth="1"/>
    <col min="7" max="7" width="7.42578125" style="135" hidden="1" customWidth="1"/>
    <col min="8" max="8" width="7.28515625" style="135" hidden="1" customWidth="1"/>
    <col min="9" max="9" width="6.85546875" style="135" hidden="1" customWidth="1"/>
    <col min="10" max="10" width="6.140625" style="135" hidden="1" customWidth="1"/>
    <col min="11" max="11" width="6.5703125" style="135" hidden="1" customWidth="1"/>
    <col min="12" max="12" width="6.28515625" style="135" hidden="1" customWidth="1"/>
    <col min="13" max="16" width="9.140625" style="135" hidden="1" customWidth="1"/>
    <col min="17" max="1024" width="11.5703125" style="3"/>
    <col min="1025" max="16384" width="9.140625" style="3"/>
  </cols>
  <sheetData>
    <row r="1" spans="1:16" x14ac:dyDescent="0.2">
      <c r="A1" s="1" t="s">
        <v>6</v>
      </c>
      <c r="B1" s="2"/>
      <c r="C1" s="76"/>
      <c r="D1" s="2"/>
      <c r="E1" s="31"/>
      <c r="F1" s="2"/>
    </row>
    <row r="2" spans="1:16" s="7" customFormat="1" x14ac:dyDescent="0.2">
      <c r="A2" s="450" t="s">
        <v>83</v>
      </c>
      <c r="B2" s="450"/>
      <c r="C2" s="450"/>
      <c r="D2" s="450"/>
      <c r="E2" s="30" t="s">
        <v>84</v>
      </c>
      <c r="F2" s="260" t="s">
        <v>85</v>
      </c>
      <c r="G2" s="135"/>
      <c r="H2" s="135"/>
      <c r="I2" s="135"/>
      <c r="J2" s="135"/>
      <c r="K2" s="135"/>
      <c r="L2" s="135"/>
      <c r="M2" s="380"/>
      <c r="N2" s="380"/>
      <c r="O2" s="380"/>
      <c r="P2" s="380"/>
    </row>
    <row r="3" spans="1:16" x14ac:dyDescent="0.2">
      <c r="A3" s="4" t="s">
        <v>204</v>
      </c>
      <c r="B3" s="451" t="s">
        <v>8</v>
      </c>
      <c r="C3" s="451"/>
      <c r="D3" s="451"/>
      <c r="E3" s="136"/>
      <c r="F3" s="261"/>
      <c r="G3" s="135" t="b">
        <v>0</v>
      </c>
    </row>
    <row r="4" spans="1:16" x14ac:dyDescent="0.2">
      <c r="A4" s="4" t="s">
        <v>205</v>
      </c>
      <c r="B4" s="451" t="s">
        <v>10</v>
      </c>
      <c r="C4" s="451"/>
      <c r="D4" s="451"/>
      <c r="E4" s="136"/>
      <c r="F4" s="261"/>
      <c r="G4" s="135" t="b">
        <v>0</v>
      </c>
    </row>
    <row r="5" spans="1:16" x14ac:dyDescent="0.2">
      <c r="A5" s="4" t="s">
        <v>206</v>
      </c>
      <c r="B5" s="451" t="s">
        <v>12</v>
      </c>
      <c r="C5" s="451"/>
      <c r="D5" s="451"/>
      <c r="E5" s="136"/>
      <c r="F5" s="262"/>
      <c r="G5" s="135" t="b">
        <v>0</v>
      </c>
    </row>
    <row r="6" spans="1:16" ht="8.25" customHeight="1" x14ac:dyDescent="0.2">
      <c r="A6" s="5"/>
      <c r="B6" s="5"/>
      <c r="D6" s="5"/>
      <c r="E6" s="32"/>
      <c r="F6" s="5"/>
    </row>
    <row r="7" spans="1:16" s="94" customFormat="1" ht="23.25" customHeight="1" x14ac:dyDescent="0.2">
      <c r="A7" s="92">
        <v>1.1000000000000001</v>
      </c>
      <c r="B7" s="93" t="s">
        <v>15</v>
      </c>
      <c r="C7" s="92" t="s">
        <v>174</v>
      </c>
      <c r="D7" s="93" t="s">
        <v>189</v>
      </c>
      <c r="E7" s="92" t="s">
        <v>87</v>
      </c>
      <c r="F7" s="263" t="s">
        <v>85</v>
      </c>
      <c r="G7" s="387"/>
      <c r="H7" s="387"/>
      <c r="I7" s="387"/>
      <c r="J7" s="387"/>
      <c r="K7" s="387"/>
      <c r="L7" s="387"/>
      <c r="M7" s="388"/>
      <c r="N7" s="388"/>
      <c r="O7" s="388"/>
      <c r="P7" s="388"/>
    </row>
    <row r="8" spans="1:16" s="7" customFormat="1" x14ac:dyDescent="0.2">
      <c r="A8" s="6"/>
      <c r="B8" s="6"/>
      <c r="C8" s="78"/>
      <c r="D8" s="6">
        <v>10</v>
      </c>
      <c r="E8" s="33">
        <f>MIN(10,E10+E13+E23+E30)</f>
        <v>0</v>
      </c>
      <c r="F8" s="259"/>
      <c r="G8" s="135"/>
      <c r="H8" s="135"/>
      <c r="I8" s="135"/>
      <c r="J8" s="135"/>
      <c r="K8" s="135"/>
      <c r="L8" s="135"/>
      <c r="M8" s="380"/>
      <c r="N8" s="380"/>
      <c r="O8" s="380"/>
      <c r="P8" s="380"/>
    </row>
    <row r="9" spans="1:16" x14ac:dyDescent="0.2">
      <c r="A9" s="418" t="s">
        <v>1</v>
      </c>
      <c r="B9" s="418"/>
      <c r="C9" s="79"/>
      <c r="D9" s="40">
        <v>3</v>
      </c>
      <c r="E9" s="41">
        <f>E21</f>
        <v>0</v>
      </c>
      <c r="F9" s="257"/>
    </row>
    <row r="10" spans="1:16" s="7" customFormat="1" ht="12.75" customHeight="1" x14ac:dyDescent="0.2">
      <c r="A10" s="8" t="s">
        <v>207</v>
      </c>
      <c r="B10" s="8" t="s">
        <v>18</v>
      </c>
      <c r="C10" s="80"/>
      <c r="D10" s="8">
        <v>1</v>
      </c>
      <c r="E10" s="35">
        <f>IF(G12,1,0)</f>
        <v>0</v>
      </c>
      <c r="F10" s="420"/>
      <c r="G10" s="135"/>
      <c r="H10" s="135"/>
      <c r="I10" s="135"/>
      <c r="J10" s="135"/>
      <c r="K10" s="135"/>
      <c r="L10" s="135"/>
      <c r="M10" s="380"/>
      <c r="N10" s="380"/>
      <c r="O10" s="380"/>
      <c r="P10" s="380"/>
    </row>
    <row r="11" spans="1:16" s="7" customFormat="1" ht="12" customHeight="1" x14ac:dyDescent="0.2">
      <c r="A11" s="430" t="s">
        <v>124</v>
      </c>
      <c r="B11" s="431"/>
      <c r="C11" s="469"/>
      <c r="D11" s="415"/>
      <c r="E11" s="454"/>
      <c r="F11" s="421"/>
      <c r="G11" s="135"/>
      <c r="H11" s="135"/>
      <c r="I11" s="135"/>
      <c r="J11" s="135"/>
      <c r="K11" s="135"/>
      <c r="L11" s="135"/>
      <c r="M11" s="380"/>
      <c r="N11" s="380"/>
      <c r="O11" s="380"/>
      <c r="P11" s="380"/>
    </row>
    <row r="12" spans="1:16" s="28" customFormat="1" ht="42" customHeight="1" x14ac:dyDescent="0.15">
      <c r="A12" s="456" t="s">
        <v>321</v>
      </c>
      <c r="B12" s="457"/>
      <c r="C12" s="470"/>
      <c r="D12" s="417"/>
      <c r="E12" s="455"/>
      <c r="F12" s="421"/>
      <c r="G12" s="130" t="b">
        <v>0</v>
      </c>
      <c r="H12" s="130"/>
      <c r="I12" s="130"/>
      <c r="J12" s="130"/>
      <c r="K12" s="130"/>
      <c r="L12" s="130"/>
      <c r="M12" s="130"/>
      <c r="N12" s="130"/>
      <c r="O12" s="130"/>
      <c r="P12" s="130"/>
    </row>
    <row r="13" spans="1:16" s="7" customFormat="1" ht="12.75" customHeight="1" x14ac:dyDescent="0.2">
      <c r="A13" s="8" t="s">
        <v>208</v>
      </c>
      <c r="B13" s="8" t="s">
        <v>88</v>
      </c>
      <c r="C13" s="80"/>
      <c r="D13" s="8">
        <v>4</v>
      </c>
      <c r="E13" s="213">
        <f>MIN(4,E15+E17+E19)</f>
        <v>0</v>
      </c>
      <c r="F13" s="420"/>
      <c r="G13" s="130"/>
      <c r="H13" s="130"/>
      <c r="I13" s="130"/>
      <c r="J13" s="135"/>
      <c r="K13" s="135"/>
      <c r="L13" s="135"/>
      <c r="M13" s="380"/>
      <c r="N13" s="380"/>
      <c r="O13" s="380"/>
      <c r="P13" s="380"/>
    </row>
    <row r="14" spans="1:16" s="7" customFormat="1" ht="12.75" customHeight="1" x14ac:dyDescent="0.2">
      <c r="A14" s="430" t="s">
        <v>125</v>
      </c>
      <c r="B14" s="431"/>
      <c r="C14" s="203"/>
      <c r="D14" s="205"/>
      <c r="E14" s="214"/>
      <c r="F14" s="421"/>
      <c r="G14" s="135"/>
      <c r="H14" s="135"/>
      <c r="I14" s="135"/>
      <c r="J14" s="135"/>
      <c r="K14" s="135"/>
      <c r="L14" s="135"/>
      <c r="M14" s="380"/>
      <c r="N14" s="380"/>
      <c r="O14" s="380"/>
      <c r="P14" s="380"/>
    </row>
    <row r="15" spans="1:16" s="28" customFormat="1" ht="15" customHeight="1" x14ac:dyDescent="0.2">
      <c r="A15" s="425" t="s">
        <v>301</v>
      </c>
      <c r="B15" s="426"/>
      <c r="C15" s="208"/>
      <c r="D15" s="10">
        <v>2</v>
      </c>
      <c r="E15" s="215">
        <f>IF(G16,2,0)</f>
        <v>0</v>
      </c>
      <c r="F15" s="421"/>
      <c r="G15" s="130"/>
      <c r="H15" s="130"/>
      <c r="I15" s="130"/>
      <c r="J15" s="130"/>
      <c r="K15" s="130"/>
      <c r="L15" s="130"/>
      <c r="M15" s="130"/>
      <c r="N15" s="130"/>
      <c r="O15" s="130"/>
      <c r="P15" s="130"/>
    </row>
    <row r="16" spans="1:16" s="28" customFormat="1" ht="42" customHeight="1" x14ac:dyDescent="0.2">
      <c r="A16" s="461" t="s">
        <v>302</v>
      </c>
      <c r="B16" s="462"/>
      <c r="C16" s="327"/>
      <c r="D16" s="206"/>
      <c r="E16" s="216"/>
      <c r="F16" s="421"/>
      <c r="G16" s="130" t="b">
        <v>0</v>
      </c>
      <c r="H16" s="130"/>
      <c r="I16" s="130"/>
      <c r="J16" s="130"/>
      <c r="K16" s="130"/>
      <c r="L16" s="130"/>
      <c r="M16" s="130"/>
      <c r="N16" s="130"/>
      <c r="O16" s="130"/>
      <c r="P16" s="130"/>
    </row>
    <row r="17" spans="1:16" s="28" customFormat="1" ht="15" customHeight="1" x14ac:dyDescent="0.2">
      <c r="A17" s="425" t="s">
        <v>303</v>
      </c>
      <c r="B17" s="426"/>
      <c r="C17" s="204"/>
      <c r="D17" s="10">
        <v>1</v>
      </c>
      <c r="E17" s="215">
        <f>IF(G18,1,0)</f>
        <v>0</v>
      </c>
      <c r="F17" s="421"/>
      <c r="G17" s="130"/>
      <c r="H17" s="130"/>
      <c r="I17" s="130"/>
      <c r="J17" s="130"/>
      <c r="K17" s="130"/>
      <c r="L17" s="130"/>
      <c r="M17" s="130"/>
      <c r="N17" s="130"/>
      <c r="O17" s="130"/>
      <c r="P17" s="130"/>
    </row>
    <row r="18" spans="1:16" s="28" customFormat="1" ht="29.25" customHeight="1" x14ac:dyDescent="0.2">
      <c r="A18" s="461" t="s">
        <v>306</v>
      </c>
      <c r="B18" s="462"/>
      <c r="C18" s="327"/>
      <c r="D18" s="206"/>
      <c r="E18" s="216"/>
      <c r="F18" s="421"/>
      <c r="G18" s="130" t="b">
        <v>0</v>
      </c>
      <c r="H18" s="130"/>
      <c r="I18" s="130"/>
      <c r="J18" s="130"/>
      <c r="K18" s="130"/>
      <c r="L18" s="130"/>
      <c r="M18" s="130"/>
      <c r="N18" s="130"/>
      <c r="O18" s="130"/>
      <c r="P18" s="130"/>
    </row>
    <row r="19" spans="1:16" s="28" customFormat="1" ht="15" customHeight="1" x14ac:dyDescent="0.2">
      <c r="A19" s="425" t="s">
        <v>304</v>
      </c>
      <c r="B19" s="426"/>
      <c r="C19" s="204"/>
      <c r="D19" s="10">
        <v>2</v>
      </c>
      <c r="E19" s="215">
        <f>IF(G20,1,0)+IF(H20,1,0)</f>
        <v>0</v>
      </c>
      <c r="F19" s="421"/>
      <c r="G19" s="130"/>
      <c r="H19" s="130"/>
      <c r="I19" s="130"/>
      <c r="J19" s="130"/>
      <c r="K19" s="130"/>
      <c r="L19" s="130"/>
      <c r="M19" s="130"/>
      <c r="N19" s="130"/>
      <c r="O19" s="130"/>
      <c r="P19" s="130"/>
    </row>
    <row r="20" spans="1:16" s="28" customFormat="1" ht="66" customHeight="1" x14ac:dyDescent="0.2">
      <c r="A20" s="461" t="s">
        <v>307</v>
      </c>
      <c r="B20" s="462"/>
      <c r="C20" s="327"/>
      <c r="D20" s="206"/>
      <c r="E20" s="216"/>
      <c r="F20" s="422"/>
      <c r="G20" s="130" t="b">
        <v>0</v>
      </c>
      <c r="H20" s="130" t="b">
        <v>0</v>
      </c>
      <c r="I20" s="130"/>
      <c r="J20" s="130"/>
      <c r="K20" s="130"/>
      <c r="L20" s="130"/>
      <c r="M20" s="130"/>
      <c r="N20" s="130"/>
      <c r="O20" s="130"/>
      <c r="P20" s="130"/>
    </row>
    <row r="21" spans="1:16" s="28" customFormat="1" ht="15" customHeight="1" x14ac:dyDescent="0.2">
      <c r="A21" s="477" t="s">
        <v>273</v>
      </c>
      <c r="B21" s="478"/>
      <c r="C21" s="209"/>
      <c r="D21" s="210">
        <v>3</v>
      </c>
      <c r="E21" s="211">
        <f>IF(G22,1,0)+IF(H22,1,0)+IF(I22,1,0)</f>
        <v>0</v>
      </c>
      <c r="F21" s="432"/>
      <c r="G21" s="130"/>
      <c r="H21" s="130"/>
      <c r="I21" s="130"/>
      <c r="J21" s="130"/>
      <c r="K21" s="130"/>
      <c r="L21" s="130"/>
      <c r="M21" s="130"/>
      <c r="N21" s="130"/>
      <c r="O21" s="130"/>
      <c r="P21" s="130"/>
    </row>
    <row r="22" spans="1:16" s="28" customFormat="1" ht="39.75" customHeight="1" x14ac:dyDescent="0.2">
      <c r="A22" s="479" t="s">
        <v>308</v>
      </c>
      <c r="B22" s="480"/>
      <c r="C22" s="209"/>
      <c r="D22" s="210"/>
      <c r="E22" s="212"/>
      <c r="F22" s="433"/>
      <c r="G22" s="130" t="b">
        <v>0</v>
      </c>
      <c r="H22" s="130" t="b">
        <v>0</v>
      </c>
      <c r="I22" s="130" t="b">
        <v>0</v>
      </c>
      <c r="J22" s="130"/>
      <c r="K22" s="130"/>
      <c r="L22" s="130"/>
      <c r="M22" s="130"/>
      <c r="N22" s="130"/>
      <c r="O22" s="130"/>
      <c r="P22" s="130"/>
    </row>
    <row r="23" spans="1:16" s="7" customFormat="1" ht="12" customHeight="1" x14ac:dyDescent="0.2">
      <c r="A23" s="8" t="s">
        <v>209</v>
      </c>
      <c r="B23" s="8" t="s">
        <v>89</v>
      </c>
      <c r="C23" s="80"/>
      <c r="D23" s="8">
        <v>2</v>
      </c>
      <c r="E23" s="35">
        <f>MIN(2,SUM(G23:J23))</f>
        <v>0</v>
      </c>
      <c r="F23" s="420"/>
      <c r="G23" s="389">
        <f>MIN(0.5,IF(C24&gt;=1,0.25,0)+IF(C25&gt;=1,0.5,0))</f>
        <v>0</v>
      </c>
      <c r="H23" s="135">
        <f>MIN(0.5,IF(G26,0.25,0)+IF(G27,0.5,0))</f>
        <v>0</v>
      </c>
      <c r="I23" s="135">
        <f>MIN(1.5,(IF(C28=1,0.25,0)+IF(C28=2,0.5,0)+IF(C28=3,0.75,0)+IF(C28=4,1,0)+IF(C28=5,1.25,0)))</f>
        <v>0</v>
      </c>
      <c r="J23" s="135">
        <f>MIN(1.5,(C29*0.25))</f>
        <v>0</v>
      </c>
      <c r="K23" s="380"/>
      <c r="L23" s="380"/>
      <c r="M23" s="380"/>
      <c r="N23" s="380"/>
      <c r="O23" s="380"/>
      <c r="P23" s="380"/>
    </row>
    <row r="24" spans="1:16" s="28" customFormat="1" ht="33" customHeight="1" x14ac:dyDescent="0.2">
      <c r="A24" s="465" t="s">
        <v>421</v>
      </c>
      <c r="B24" s="466"/>
      <c r="C24" s="134">
        <v>0</v>
      </c>
      <c r="D24" s="452"/>
      <c r="E24" s="452"/>
      <c r="F24" s="421"/>
      <c r="G24" s="367" t="s">
        <v>187</v>
      </c>
      <c r="H24" s="390"/>
      <c r="I24" s="390"/>
      <c r="J24" s="390"/>
      <c r="K24" s="390"/>
      <c r="L24" s="390"/>
      <c r="M24" s="390"/>
      <c r="N24" s="390"/>
      <c r="O24" s="130"/>
      <c r="P24" s="130"/>
    </row>
    <row r="25" spans="1:16" s="28" customFormat="1" ht="33" customHeight="1" x14ac:dyDescent="0.2">
      <c r="A25" s="467"/>
      <c r="B25" s="468"/>
      <c r="C25" s="134">
        <v>0</v>
      </c>
      <c r="D25" s="453"/>
      <c r="E25" s="453"/>
      <c r="F25" s="421"/>
      <c r="G25" s="367" t="s">
        <v>171</v>
      </c>
      <c r="H25" s="390"/>
      <c r="I25" s="390"/>
      <c r="J25" s="390"/>
      <c r="K25" s="390"/>
      <c r="L25" s="390"/>
      <c r="M25" s="390"/>
      <c r="N25" s="390"/>
      <c r="O25" s="130"/>
      <c r="P25" s="130"/>
    </row>
    <row r="26" spans="1:16" s="28" customFormat="1" ht="42" customHeight="1" x14ac:dyDescent="0.2">
      <c r="A26" s="467"/>
      <c r="B26" s="468"/>
      <c r="C26" s="134"/>
      <c r="D26" s="453"/>
      <c r="E26" s="453"/>
      <c r="F26" s="421"/>
      <c r="G26" s="367" t="b">
        <v>0</v>
      </c>
      <c r="H26" s="390"/>
      <c r="I26" s="390"/>
      <c r="J26" s="390"/>
      <c r="K26" s="390"/>
      <c r="L26" s="390"/>
      <c r="M26" s="390"/>
      <c r="N26" s="390"/>
      <c r="O26" s="130"/>
      <c r="P26" s="130"/>
    </row>
    <row r="27" spans="1:16" s="28" customFormat="1" ht="13.5" customHeight="1" x14ac:dyDescent="0.2">
      <c r="A27" s="467"/>
      <c r="B27" s="468"/>
      <c r="C27" s="134"/>
      <c r="D27" s="453"/>
      <c r="E27" s="453"/>
      <c r="F27" s="421"/>
      <c r="G27" s="367" t="b">
        <v>0</v>
      </c>
      <c r="H27" s="390"/>
      <c r="I27" s="390"/>
      <c r="J27" s="390"/>
      <c r="K27" s="390"/>
      <c r="L27" s="390"/>
      <c r="M27" s="390"/>
      <c r="N27" s="390"/>
      <c r="O27" s="130"/>
      <c r="P27" s="130"/>
    </row>
    <row r="28" spans="1:16" s="28" customFormat="1" ht="26.25" customHeight="1" x14ac:dyDescent="0.2">
      <c r="A28" s="467"/>
      <c r="B28" s="468"/>
      <c r="C28" s="134">
        <v>0</v>
      </c>
      <c r="D28" s="453"/>
      <c r="E28" s="453"/>
      <c r="F28" s="421"/>
      <c r="G28" s="367" t="s">
        <v>172</v>
      </c>
      <c r="H28" s="390"/>
      <c r="I28" s="390"/>
      <c r="J28" s="390"/>
      <c r="K28" s="390"/>
      <c r="L28" s="390"/>
      <c r="M28" s="390"/>
      <c r="N28" s="390"/>
      <c r="O28" s="130"/>
      <c r="P28" s="130"/>
    </row>
    <row r="29" spans="1:16" s="28" customFormat="1" ht="15" customHeight="1" x14ac:dyDescent="0.2">
      <c r="A29" s="467"/>
      <c r="B29" s="468"/>
      <c r="C29" s="134">
        <v>0</v>
      </c>
      <c r="D29" s="453"/>
      <c r="E29" s="453"/>
      <c r="F29" s="421"/>
      <c r="G29" s="367" t="s">
        <v>173</v>
      </c>
      <c r="H29" s="367"/>
      <c r="I29" s="390"/>
      <c r="J29" s="390"/>
      <c r="K29" s="390"/>
      <c r="L29" s="390"/>
      <c r="M29" s="390"/>
      <c r="N29" s="390"/>
      <c r="O29" s="130"/>
      <c r="P29" s="130"/>
    </row>
    <row r="30" spans="1:16" s="7" customFormat="1" ht="12" customHeight="1" x14ac:dyDescent="0.2">
      <c r="A30" s="8" t="s">
        <v>210</v>
      </c>
      <c r="B30" s="8" t="s">
        <v>28</v>
      </c>
      <c r="C30" s="80"/>
      <c r="D30" s="8">
        <v>3</v>
      </c>
      <c r="E30" s="207">
        <f>MIN(G31,3)</f>
        <v>0</v>
      </c>
      <c r="F30" s="420"/>
      <c r="G30" s="135"/>
      <c r="H30" s="135"/>
      <c r="I30" s="135"/>
      <c r="J30" s="135"/>
      <c r="K30" s="135"/>
      <c r="L30" s="135"/>
      <c r="M30" s="380"/>
      <c r="N30" s="380"/>
      <c r="O30" s="380"/>
      <c r="P30" s="380"/>
    </row>
    <row r="31" spans="1:16" s="7" customFormat="1" ht="12" customHeight="1" x14ac:dyDescent="0.2">
      <c r="A31" s="475" t="s">
        <v>126</v>
      </c>
      <c r="B31" s="475"/>
      <c r="C31" s="469"/>
      <c r="D31" s="458"/>
      <c r="E31" s="458"/>
      <c r="F31" s="421"/>
      <c r="G31" s="380">
        <f>SUM(G33:L33)</f>
        <v>0</v>
      </c>
      <c r="H31" s="135"/>
      <c r="I31" s="135"/>
      <c r="J31" s="135"/>
      <c r="K31" s="135"/>
      <c r="L31" s="135"/>
      <c r="M31" s="380"/>
      <c r="N31" s="380"/>
      <c r="O31" s="380"/>
      <c r="P31" s="380"/>
    </row>
    <row r="32" spans="1:16" s="28" customFormat="1" ht="84.75" customHeight="1" x14ac:dyDescent="0.15">
      <c r="A32" s="465" t="s">
        <v>435</v>
      </c>
      <c r="B32" s="466"/>
      <c r="C32" s="476"/>
      <c r="D32" s="458"/>
      <c r="E32" s="458"/>
      <c r="F32" s="422"/>
      <c r="G32" s="130" t="b">
        <v>0</v>
      </c>
      <c r="H32" s="130" t="b">
        <v>0</v>
      </c>
      <c r="I32" s="130" t="b">
        <v>0</v>
      </c>
      <c r="J32" s="130" t="b">
        <v>0</v>
      </c>
      <c r="K32" s="130" t="b">
        <v>0</v>
      </c>
      <c r="L32" s="130"/>
      <c r="M32" s="130"/>
      <c r="N32" s="130"/>
      <c r="O32" s="130"/>
      <c r="P32" s="130"/>
    </row>
    <row r="33" spans="1:16" s="28" customFormat="1" ht="24" customHeight="1" x14ac:dyDescent="0.2">
      <c r="A33" s="456"/>
      <c r="B33" s="457"/>
      <c r="C33" s="137">
        <v>0</v>
      </c>
      <c r="D33" s="183"/>
      <c r="E33" s="184"/>
      <c r="F33" s="255"/>
      <c r="G33" s="130">
        <f>IF(G32,0.5,0)</f>
        <v>0</v>
      </c>
      <c r="H33" s="130">
        <f>IF(H32,0.5,0)</f>
        <v>0</v>
      </c>
      <c r="I33" s="130">
        <f>IF(I32,0.5,0)</f>
        <v>0</v>
      </c>
      <c r="J33" s="130">
        <f>IF(J32,1,0)</f>
        <v>0</v>
      </c>
      <c r="K33" s="130">
        <f>IF(K32,1,0)</f>
        <v>0</v>
      </c>
      <c r="L33" s="130">
        <f>IF(C33&lt;25,0,IF(C33&gt;=60,3,IF(C33&gt;=25,1,)))</f>
        <v>0</v>
      </c>
      <c r="M33" s="130"/>
      <c r="N33" s="130"/>
      <c r="O33" s="130"/>
      <c r="P33" s="130"/>
    </row>
    <row r="34" spans="1:16" s="90" customFormat="1" ht="23.25" customHeight="1" x14ac:dyDescent="0.2">
      <c r="A34" s="60">
        <v>1.2</v>
      </c>
      <c r="B34" s="95" t="s">
        <v>30</v>
      </c>
      <c r="C34" s="92" t="s">
        <v>174</v>
      </c>
      <c r="D34" s="93" t="s">
        <v>189</v>
      </c>
      <c r="E34" s="96" t="s">
        <v>87</v>
      </c>
      <c r="F34" s="258" t="s">
        <v>85</v>
      </c>
      <c r="G34" s="391"/>
      <c r="H34" s="391"/>
      <c r="I34" s="391"/>
      <c r="J34" s="391"/>
      <c r="K34" s="391"/>
      <c r="L34" s="391"/>
      <c r="M34" s="379"/>
      <c r="N34" s="379"/>
      <c r="O34" s="379"/>
      <c r="P34" s="379"/>
    </row>
    <row r="35" spans="1:16" s="7" customFormat="1" x14ac:dyDescent="0.2">
      <c r="A35" s="6"/>
      <c r="B35" s="6"/>
      <c r="C35" s="78"/>
      <c r="D35" s="6">
        <v>10</v>
      </c>
      <c r="E35" s="33">
        <f>E37+E48</f>
        <v>0</v>
      </c>
      <c r="F35" s="259"/>
      <c r="G35" s="135"/>
      <c r="H35" s="135"/>
      <c r="I35" s="135"/>
      <c r="J35" s="135"/>
      <c r="K35" s="135"/>
      <c r="L35" s="135"/>
      <c r="M35" s="380"/>
      <c r="N35" s="380"/>
      <c r="O35" s="380"/>
      <c r="P35" s="380"/>
    </row>
    <row r="36" spans="1:16" x14ac:dyDescent="0.2">
      <c r="A36" s="418" t="s">
        <v>1</v>
      </c>
      <c r="B36" s="418"/>
      <c r="C36" s="79"/>
      <c r="D36" s="40">
        <f>D40+D52</f>
        <v>2</v>
      </c>
      <c r="E36" s="41">
        <f>E40+E52</f>
        <v>0</v>
      </c>
      <c r="F36" s="257"/>
    </row>
    <row r="37" spans="1:16" s="7" customFormat="1" ht="13.5" customHeight="1" x14ac:dyDescent="0.2">
      <c r="A37" s="8" t="s">
        <v>211</v>
      </c>
      <c r="B37" s="8" t="s">
        <v>32</v>
      </c>
      <c r="C37" s="80"/>
      <c r="D37" s="8">
        <v>5</v>
      </c>
      <c r="E37" s="35">
        <f>MIN(5,SUM(E38,E42,E44,E46))</f>
        <v>0</v>
      </c>
      <c r="F37" s="255"/>
      <c r="G37" s="135"/>
      <c r="H37" s="135"/>
      <c r="I37" s="135"/>
      <c r="J37" s="135"/>
      <c r="K37" s="135"/>
      <c r="L37" s="135"/>
      <c r="M37" s="380"/>
      <c r="N37" s="380"/>
      <c r="O37" s="380"/>
      <c r="P37" s="380"/>
    </row>
    <row r="38" spans="1:16" s="7" customFormat="1" ht="12.75" customHeight="1" x14ac:dyDescent="0.2">
      <c r="A38" s="425" t="s">
        <v>160</v>
      </c>
      <c r="B38" s="426"/>
      <c r="C38" s="83"/>
      <c r="D38" s="183">
        <v>2</v>
      </c>
      <c r="E38" s="184">
        <f>MIN(G38,2)</f>
        <v>0</v>
      </c>
      <c r="F38" s="420"/>
      <c r="G38" s="135">
        <f>IF(ISNUMBER(SEARCH("TRUE",G39)), "1", "0")+IF(ISNUMBER(SEARCH("TRUE",H39)), "2", "0")</f>
        <v>0</v>
      </c>
      <c r="H38" s="135"/>
      <c r="I38" s="135"/>
      <c r="J38" s="135"/>
      <c r="K38" s="135"/>
      <c r="L38" s="135"/>
      <c r="M38" s="380"/>
      <c r="N38" s="380"/>
      <c r="O38" s="380"/>
      <c r="P38" s="380"/>
    </row>
    <row r="39" spans="1:16" ht="45" customHeight="1" x14ac:dyDescent="0.2">
      <c r="A39" s="423" t="s">
        <v>324</v>
      </c>
      <c r="B39" s="424"/>
      <c r="C39" s="134"/>
      <c r="D39" s="183"/>
      <c r="E39" s="184"/>
      <c r="F39" s="422"/>
      <c r="G39" s="135" t="b">
        <v>0</v>
      </c>
      <c r="H39" s="135" t="b">
        <v>0</v>
      </c>
    </row>
    <row r="40" spans="1:16" ht="30" customHeight="1" x14ac:dyDescent="0.2">
      <c r="A40" s="419" t="s">
        <v>325</v>
      </c>
      <c r="B40" s="419"/>
      <c r="C40" s="81"/>
      <c r="D40" s="29">
        <v>1</v>
      </c>
      <c r="E40" s="36">
        <f>IF(G41,1,0)</f>
        <v>0</v>
      </c>
      <c r="F40" s="435"/>
    </row>
    <row r="41" spans="1:16" ht="54" customHeight="1" x14ac:dyDescent="0.2">
      <c r="A41" s="427" t="s">
        <v>326</v>
      </c>
      <c r="B41" s="428"/>
      <c r="C41" s="133"/>
      <c r="D41" s="29"/>
      <c r="E41" s="36"/>
      <c r="F41" s="436"/>
      <c r="G41" s="135" t="b">
        <v>0</v>
      </c>
    </row>
    <row r="42" spans="1:16" s="7" customFormat="1" ht="11.25" customHeight="1" x14ac:dyDescent="0.2">
      <c r="A42" s="425" t="s">
        <v>159</v>
      </c>
      <c r="B42" s="426"/>
      <c r="C42" s="83"/>
      <c r="D42" s="183">
        <v>3</v>
      </c>
      <c r="E42" s="184">
        <f>MIN(3,G42)</f>
        <v>0</v>
      </c>
      <c r="F42" s="420"/>
      <c r="G42" s="135">
        <f>IF(ISNUMBER(SEARCH("TRUE",G43)), "1", "0")+IF(ISNUMBER(SEARCH("TRUE",H43)), "3", "0")</f>
        <v>0</v>
      </c>
      <c r="H42" s="135"/>
      <c r="I42" s="135"/>
      <c r="J42" s="135"/>
      <c r="K42" s="135"/>
      <c r="L42" s="135"/>
      <c r="M42" s="380"/>
      <c r="N42" s="380"/>
      <c r="O42" s="380"/>
      <c r="P42" s="380"/>
    </row>
    <row r="43" spans="1:16" ht="54" customHeight="1" x14ac:dyDescent="0.2">
      <c r="A43" s="423" t="s">
        <v>128</v>
      </c>
      <c r="B43" s="424"/>
      <c r="C43" s="134"/>
      <c r="D43" s="183"/>
      <c r="E43" s="184"/>
      <c r="F43" s="422"/>
      <c r="G43" s="135" t="b">
        <v>0</v>
      </c>
      <c r="H43" s="135" t="b">
        <v>0</v>
      </c>
    </row>
    <row r="44" spans="1:16" s="7" customFormat="1" ht="12.75" customHeight="1" x14ac:dyDescent="0.2">
      <c r="A44" s="425" t="s">
        <v>158</v>
      </c>
      <c r="B44" s="426"/>
      <c r="C44" s="83"/>
      <c r="D44" s="183">
        <v>1</v>
      </c>
      <c r="E44" s="184">
        <f>IF(AND(C45&gt;=50, C45&lt;80),0.5,0)+IF(C45&gt;=80,1,0)</f>
        <v>0</v>
      </c>
      <c r="F44" s="420"/>
      <c r="G44" s="135"/>
      <c r="H44" s="135"/>
      <c r="I44" s="135"/>
      <c r="J44" s="135"/>
      <c r="K44" s="135"/>
      <c r="L44" s="135"/>
      <c r="M44" s="380"/>
      <c r="N44" s="380"/>
      <c r="O44" s="380"/>
      <c r="P44" s="380"/>
    </row>
    <row r="45" spans="1:16" ht="50.25" customHeight="1" x14ac:dyDescent="0.2">
      <c r="A45" s="423" t="s">
        <v>300</v>
      </c>
      <c r="B45" s="424"/>
      <c r="C45" s="134">
        <v>0</v>
      </c>
      <c r="D45" s="183"/>
      <c r="E45" s="184"/>
      <c r="F45" s="422"/>
    </row>
    <row r="46" spans="1:16" s="7" customFormat="1" ht="11.25" customHeight="1" x14ac:dyDescent="0.2">
      <c r="A46" s="425" t="s">
        <v>157</v>
      </c>
      <c r="B46" s="426"/>
      <c r="C46" s="83"/>
      <c r="D46" s="183">
        <v>2</v>
      </c>
      <c r="E46" s="184">
        <f>IF(G47,0.5,0)+IF(H47,0.5,0)+IF(I47,0.5,0)+IF(J47,0.5,0)</f>
        <v>0</v>
      </c>
      <c r="F46" s="420"/>
      <c r="G46" s="135"/>
      <c r="H46" s="135"/>
      <c r="I46" s="135"/>
      <c r="J46" s="135"/>
      <c r="K46" s="135"/>
      <c r="L46" s="135"/>
      <c r="M46" s="380"/>
      <c r="N46" s="380"/>
      <c r="O46" s="380"/>
      <c r="P46" s="380"/>
    </row>
    <row r="47" spans="1:16" s="7" customFormat="1" ht="76.5" customHeight="1" x14ac:dyDescent="0.2">
      <c r="A47" s="423" t="s">
        <v>468</v>
      </c>
      <c r="B47" s="424"/>
      <c r="C47" s="134"/>
      <c r="D47" s="183"/>
      <c r="E47" s="184"/>
      <c r="F47" s="422"/>
      <c r="G47" s="135" t="b">
        <v>0</v>
      </c>
      <c r="H47" s="135" t="b">
        <v>0</v>
      </c>
      <c r="I47" s="135" t="b">
        <v>0</v>
      </c>
      <c r="J47" s="135" t="b">
        <v>0</v>
      </c>
      <c r="K47" s="135"/>
      <c r="L47" s="135"/>
      <c r="M47" s="380"/>
      <c r="N47" s="380"/>
      <c r="O47" s="380"/>
      <c r="P47" s="380"/>
    </row>
    <row r="48" spans="1:16" s="7" customFormat="1" x14ac:dyDescent="0.2">
      <c r="A48" s="8" t="s">
        <v>212</v>
      </c>
      <c r="B48" s="8" t="s">
        <v>34</v>
      </c>
      <c r="C48" s="366"/>
      <c r="D48" s="8">
        <v>5</v>
      </c>
      <c r="E48" s="35">
        <f>MIN(5,SUM(E50+E54+E56+E58))</f>
        <v>0</v>
      </c>
      <c r="F48" s="420"/>
      <c r="G48" s="135"/>
      <c r="H48" s="135"/>
      <c r="I48" s="135"/>
      <c r="J48" s="135"/>
      <c r="K48" s="135"/>
      <c r="L48" s="135"/>
      <c r="M48" s="380"/>
      <c r="N48" s="380"/>
      <c r="O48" s="380"/>
      <c r="P48" s="380"/>
    </row>
    <row r="49" spans="1:16" ht="22.5" customHeight="1" x14ac:dyDescent="0.2">
      <c r="A49" s="475" t="s">
        <v>127</v>
      </c>
      <c r="B49" s="475"/>
      <c r="C49" s="167"/>
      <c r="D49" s="185"/>
      <c r="E49" s="185"/>
      <c r="F49" s="422"/>
    </row>
    <row r="50" spans="1:16" ht="12.75" customHeight="1" x14ac:dyDescent="0.2">
      <c r="A50" s="425" t="s">
        <v>242</v>
      </c>
      <c r="B50" s="426"/>
      <c r="C50" s="83"/>
      <c r="D50" s="183">
        <v>3</v>
      </c>
      <c r="E50" s="246">
        <f>HLOOKUP(C51,$G$50:$M$51,2,TRUE)</f>
        <v>0</v>
      </c>
      <c r="F50" s="459"/>
      <c r="G50" s="135">
        <v>0</v>
      </c>
      <c r="H50" s="135">
        <v>0.5</v>
      </c>
      <c r="I50" s="135">
        <v>1</v>
      </c>
      <c r="J50" s="135">
        <v>2</v>
      </c>
      <c r="K50" s="135">
        <v>3</v>
      </c>
      <c r="L50" s="135">
        <v>4</v>
      </c>
      <c r="M50" s="135">
        <v>5</v>
      </c>
    </row>
    <row r="51" spans="1:16" ht="49.5" customHeight="1" x14ac:dyDescent="0.2">
      <c r="A51" s="423" t="s">
        <v>163</v>
      </c>
      <c r="B51" s="424"/>
      <c r="C51" s="134">
        <v>0</v>
      </c>
      <c r="D51" s="183"/>
      <c r="E51" s="184"/>
      <c r="F51" s="460"/>
      <c r="G51" s="135">
        <v>0</v>
      </c>
      <c r="H51" s="135">
        <v>0.5</v>
      </c>
      <c r="I51" s="135">
        <v>1</v>
      </c>
      <c r="J51" s="135">
        <v>2</v>
      </c>
      <c r="K51" s="135">
        <v>2.5</v>
      </c>
      <c r="L51" s="135">
        <v>3</v>
      </c>
      <c r="M51" s="135">
        <v>3</v>
      </c>
    </row>
    <row r="52" spans="1:16" ht="14.25" customHeight="1" x14ac:dyDescent="0.2">
      <c r="A52" s="472" t="s">
        <v>278</v>
      </c>
      <c r="B52" s="472"/>
      <c r="C52" s="217"/>
      <c r="D52" s="218">
        <v>1</v>
      </c>
      <c r="E52" s="211">
        <f>HLOOKUP(C51,$G$50:$M$52,3,TRUE)</f>
        <v>0</v>
      </c>
      <c r="F52" s="474"/>
      <c r="M52" s="135">
        <v>1</v>
      </c>
    </row>
    <row r="53" spans="1:16" ht="22.5" customHeight="1" x14ac:dyDescent="0.2">
      <c r="A53" s="473" t="s">
        <v>129</v>
      </c>
      <c r="B53" s="473"/>
      <c r="C53" s="219"/>
      <c r="D53" s="220"/>
      <c r="E53" s="221"/>
      <c r="F53" s="433"/>
    </row>
    <row r="54" spans="1:16" x14ac:dyDescent="0.2">
      <c r="A54" s="425" t="s">
        <v>90</v>
      </c>
      <c r="B54" s="426"/>
      <c r="C54" s="83"/>
      <c r="D54" s="183">
        <v>1</v>
      </c>
      <c r="E54" s="184">
        <f>IF(G55,0.5,0)+IF(H55,0.5,0)</f>
        <v>0</v>
      </c>
      <c r="F54" s="459"/>
    </row>
    <row r="55" spans="1:16" s="28" customFormat="1" ht="33.950000000000003" customHeight="1" x14ac:dyDescent="0.2">
      <c r="A55" s="423" t="s">
        <v>200</v>
      </c>
      <c r="B55" s="424"/>
      <c r="C55" s="134"/>
      <c r="D55" s="183"/>
      <c r="E55" s="184"/>
      <c r="F55" s="460"/>
      <c r="G55" s="130" t="b">
        <v>0</v>
      </c>
      <c r="H55" s="130" t="b">
        <v>0</v>
      </c>
      <c r="I55" s="130"/>
      <c r="J55" s="130"/>
      <c r="K55" s="130"/>
      <c r="L55" s="130"/>
      <c r="M55" s="130"/>
      <c r="N55" s="130"/>
      <c r="O55" s="130"/>
      <c r="P55" s="130"/>
    </row>
    <row r="56" spans="1:16" x14ac:dyDescent="0.2">
      <c r="A56" s="425" t="s">
        <v>161</v>
      </c>
      <c r="B56" s="426"/>
      <c r="C56" s="83"/>
      <c r="D56" s="183">
        <v>1.5</v>
      </c>
      <c r="E56" s="184">
        <f>MIN(1.5,G56)</f>
        <v>0</v>
      </c>
      <c r="F56" s="459"/>
      <c r="G56" s="135">
        <f>IF(ISNUMBER(SEARCH("TRUE",G57)), "1.5", "0")+IF(ISNUMBER(SEARCH("TRUE",H57)), "0.5", "0")+IF(ISNUMBER(SEARCH("TRUE",I57)), "0.5", "0")+IF(ISNUMBER(SEARCH("TRUE",J57)), "0.5", "0")</f>
        <v>0</v>
      </c>
    </row>
    <row r="57" spans="1:16" s="28" customFormat="1" ht="62.1" customHeight="1" x14ac:dyDescent="0.2">
      <c r="A57" s="423" t="s">
        <v>327</v>
      </c>
      <c r="B57" s="424"/>
      <c r="C57" s="134"/>
      <c r="D57" s="183"/>
      <c r="E57" s="184"/>
      <c r="F57" s="460"/>
      <c r="G57" s="130" t="b">
        <v>0</v>
      </c>
      <c r="H57" s="130" t="b">
        <v>0</v>
      </c>
      <c r="I57" s="130" t="b">
        <v>0</v>
      </c>
      <c r="J57" s="130" t="b">
        <v>0</v>
      </c>
      <c r="K57" s="130"/>
      <c r="L57" s="130"/>
      <c r="M57" s="130"/>
      <c r="N57" s="130"/>
      <c r="O57" s="130"/>
      <c r="P57" s="130"/>
    </row>
    <row r="58" spans="1:16" ht="11.25" customHeight="1" x14ac:dyDescent="0.2">
      <c r="A58" s="425" t="s">
        <v>91</v>
      </c>
      <c r="B58" s="426"/>
      <c r="C58" s="83"/>
      <c r="D58" s="183">
        <v>1</v>
      </c>
      <c r="E58" s="184">
        <f>IF(G59=TRUE,1,IF(C59&gt;=35,1,IF(C59&gt;=10,0.5,0)))</f>
        <v>0</v>
      </c>
      <c r="F58" s="459"/>
      <c r="G58" s="156">
        <f>IF(ISNUMBER(SEARCH("TRUE",G59)), "1", "0")+IF(AND(C59&gt;=10,C59&lt;35),0.5,IF(C59&gt;=35,1,0))</f>
        <v>0</v>
      </c>
    </row>
    <row r="59" spans="1:16" s="28" customFormat="1" ht="35.25" customHeight="1" x14ac:dyDescent="0.2">
      <c r="A59" s="423" t="s">
        <v>261</v>
      </c>
      <c r="B59" s="424"/>
      <c r="C59" s="134">
        <v>0</v>
      </c>
      <c r="D59" s="183"/>
      <c r="E59" s="184"/>
      <c r="F59" s="460"/>
      <c r="G59" s="130" t="b">
        <v>0</v>
      </c>
      <c r="H59" s="130"/>
      <c r="I59" s="130"/>
      <c r="J59" s="130"/>
      <c r="K59" s="130"/>
      <c r="L59" s="130"/>
      <c r="M59" s="130"/>
      <c r="N59" s="135"/>
      <c r="O59" s="135"/>
      <c r="P59" s="130"/>
    </row>
    <row r="60" spans="1:16" s="97" customFormat="1" ht="25.5" customHeight="1" x14ac:dyDescent="0.2">
      <c r="A60" s="60">
        <v>1.3</v>
      </c>
      <c r="B60" s="95" t="s">
        <v>36</v>
      </c>
      <c r="C60" s="92" t="s">
        <v>174</v>
      </c>
      <c r="D60" s="93" t="s">
        <v>189</v>
      </c>
      <c r="E60" s="96" t="s">
        <v>87</v>
      </c>
      <c r="F60" s="264" t="s">
        <v>85</v>
      </c>
      <c r="G60" s="391"/>
      <c r="H60" s="391"/>
      <c r="I60" s="391"/>
      <c r="J60" s="391"/>
      <c r="K60" s="391"/>
      <c r="L60" s="391"/>
      <c r="M60" s="391"/>
      <c r="N60" s="391"/>
      <c r="O60" s="391"/>
      <c r="P60" s="391"/>
    </row>
    <row r="61" spans="1:16" x14ac:dyDescent="0.2">
      <c r="A61" s="6"/>
      <c r="B61" s="6"/>
      <c r="C61" s="78"/>
      <c r="D61" s="6">
        <v>10</v>
      </c>
      <c r="E61" s="33">
        <f>E63+E71+E77</f>
        <v>0</v>
      </c>
      <c r="F61" s="259"/>
    </row>
    <row r="62" spans="1:16" ht="15" customHeight="1" x14ac:dyDescent="0.2">
      <c r="A62" s="418" t="s">
        <v>1</v>
      </c>
      <c r="B62" s="418"/>
      <c r="C62" s="79"/>
      <c r="D62" s="40">
        <v>3</v>
      </c>
      <c r="E62" s="41">
        <f>E65+E67+E69+E85</f>
        <v>0</v>
      </c>
      <c r="F62" s="257"/>
    </row>
    <row r="63" spans="1:16" ht="13.5" customHeight="1" x14ac:dyDescent="0.2">
      <c r="A63" s="8" t="s">
        <v>213</v>
      </c>
      <c r="B63" s="8" t="s">
        <v>38</v>
      </c>
      <c r="C63" s="80"/>
      <c r="D63" s="8">
        <v>3</v>
      </c>
      <c r="E63" s="35">
        <f>C64</f>
        <v>0</v>
      </c>
      <c r="F63" s="459"/>
      <c r="G63" s="371"/>
    </row>
    <row r="64" spans="1:16" s="72" customFormat="1" ht="45" customHeight="1" x14ac:dyDescent="0.2">
      <c r="A64" s="463" t="s">
        <v>328</v>
      </c>
      <c r="B64" s="464"/>
      <c r="C64" s="132">
        <v>0</v>
      </c>
      <c r="D64" s="165"/>
      <c r="E64" s="166"/>
      <c r="F64" s="460"/>
      <c r="G64" s="163"/>
      <c r="H64" s="163"/>
      <c r="I64" s="163"/>
      <c r="J64" s="163"/>
      <c r="K64" s="163"/>
      <c r="L64" s="163"/>
      <c r="M64" s="163"/>
      <c r="N64" s="163"/>
      <c r="O64" s="163"/>
      <c r="P64" s="163"/>
    </row>
    <row r="65" spans="1:16" s="72" customFormat="1" ht="20.100000000000001" customHeight="1" x14ac:dyDescent="0.2">
      <c r="A65" s="419" t="s">
        <v>274</v>
      </c>
      <c r="B65" s="419"/>
      <c r="C65" s="81"/>
      <c r="D65" s="29">
        <v>1</v>
      </c>
      <c r="E65" s="36">
        <f>IF(G66,1,0)</f>
        <v>0</v>
      </c>
      <c r="F65" s="435"/>
      <c r="G65" s="163"/>
      <c r="H65" s="163"/>
      <c r="I65" s="163"/>
      <c r="J65" s="163"/>
      <c r="K65" s="163"/>
      <c r="L65" s="163"/>
      <c r="M65" s="163"/>
      <c r="N65" s="163"/>
      <c r="O65" s="163"/>
      <c r="P65" s="163"/>
    </row>
    <row r="66" spans="1:16" s="72" customFormat="1" ht="16.5" customHeight="1" x14ac:dyDescent="0.2">
      <c r="A66" s="427" t="s">
        <v>329</v>
      </c>
      <c r="B66" s="428"/>
      <c r="C66" s="133"/>
      <c r="D66" s="11"/>
      <c r="E66" s="37"/>
      <c r="F66" s="436"/>
      <c r="G66" s="163" t="b">
        <v>0</v>
      </c>
      <c r="H66" s="163"/>
      <c r="I66" s="163"/>
      <c r="J66" s="163"/>
      <c r="K66" s="163"/>
      <c r="L66" s="163"/>
      <c r="M66" s="163"/>
      <c r="N66" s="163"/>
      <c r="O66" s="163"/>
      <c r="P66" s="163"/>
    </row>
    <row r="67" spans="1:16" s="27" customFormat="1" ht="31.5" customHeight="1" x14ac:dyDescent="0.2">
      <c r="A67" s="419" t="s">
        <v>275</v>
      </c>
      <c r="B67" s="419"/>
      <c r="C67" s="81"/>
      <c r="D67" s="29">
        <v>1</v>
      </c>
      <c r="E67" s="36">
        <f>IF(C68&gt;=35,1,IF(C68&gt;=10,0.5,0))</f>
        <v>0</v>
      </c>
      <c r="F67" s="435"/>
      <c r="G67" s="371"/>
      <c r="H67" s="371"/>
      <c r="I67" s="371"/>
      <c r="J67" s="371"/>
      <c r="K67" s="371"/>
      <c r="L67" s="371"/>
      <c r="M67" s="372"/>
      <c r="N67" s="372"/>
      <c r="O67" s="372"/>
      <c r="P67" s="372"/>
    </row>
    <row r="68" spans="1:16" s="28" customFormat="1" ht="18" customHeight="1" x14ac:dyDescent="0.2">
      <c r="A68" s="427" t="s">
        <v>262</v>
      </c>
      <c r="B68" s="428"/>
      <c r="C68" s="133">
        <v>0</v>
      </c>
      <c r="D68" s="11"/>
      <c r="E68" s="37"/>
      <c r="F68" s="436"/>
      <c r="G68" s="130"/>
      <c r="H68" s="130"/>
      <c r="I68" s="130"/>
      <c r="J68" s="130"/>
      <c r="K68" s="130"/>
      <c r="L68" s="130"/>
      <c r="M68" s="130"/>
      <c r="N68" s="130"/>
      <c r="O68" s="130"/>
      <c r="P68" s="130"/>
    </row>
    <row r="69" spans="1:16" s="27" customFormat="1" ht="20.100000000000001" customHeight="1" x14ac:dyDescent="0.2">
      <c r="A69" s="419" t="s">
        <v>276</v>
      </c>
      <c r="B69" s="419"/>
      <c r="C69" s="81"/>
      <c r="D69" s="29">
        <v>1</v>
      </c>
      <c r="E69" s="36">
        <f>IF(G70,1,0)</f>
        <v>0</v>
      </c>
      <c r="F69" s="435"/>
      <c r="G69" s="371"/>
      <c r="H69" s="371"/>
      <c r="I69" s="371"/>
      <c r="J69" s="371"/>
      <c r="K69" s="371"/>
      <c r="L69" s="371"/>
      <c r="M69" s="372"/>
      <c r="N69" s="372"/>
      <c r="O69" s="372"/>
      <c r="P69" s="372"/>
    </row>
    <row r="70" spans="1:16" s="28" customFormat="1" ht="33.950000000000003" customHeight="1" x14ac:dyDescent="0.2">
      <c r="A70" s="427" t="s">
        <v>330</v>
      </c>
      <c r="B70" s="428"/>
      <c r="C70" s="133"/>
      <c r="D70" s="11"/>
      <c r="E70" s="37"/>
      <c r="F70" s="436"/>
      <c r="G70" s="130" t="b">
        <v>0</v>
      </c>
      <c r="H70" s="130"/>
      <c r="I70" s="130"/>
      <c r="J70" s="130"/>
      <c r="K70" s="130"/>
      <c r="L70" s="130"/>
      <c r="M70" s="130"/>
      <c r="N70" s="130"/>
      <c r="O70" s="130"/>
      <c r="P70" s="130"/>
    </row>
    <row r="71" spans="1:16" s="27" customFormat="1" ht="12.95" customHeight="1" x14ac:dyDescent="0.2">
      <c r="A71" s="8" t="s">
        <v>214</v>
      </c>
      <c r="B71" s="8" t="s">
        <v>331</v>
      </c>
      <c r="C71" s="80"/>
      <c r="D71" s="8">
        <v>3</v>
      </c>
      <c r="E71" s="35">
        <f>MIN(3,G71+H71)</f>
        <v>0</v>
      </c>
      <c r="F71" s="437"/>
      <c r="G71" s="371">
        <f>IF(G72,1,IF(G73,0.5,0))</f>
        <v>0</v>
      </c>
      <c r="H71" s="371">
        <f>IF(C74+C75+C76=0,0,((C76*2)+(C75*0.5)+(C74*0))/(C74+C75+C76))</f>
        <v>0</v>
      </c>
      <c r="I71" s="371"/>
      <c r="J71" s="371"/>
      <c r="K71" s="371"/>
      <c r="L71" s="371"/>
      <c r="M71" s="372"/>
      <c r="N71" s="372"/>
      <c r="O71" s="372"/>
      <c r="P71" s="372"/>
    </row>
    <row r="72" spans="1:16" s="72" customFormat="1" ht="29.25" customHeight="1" x14ac:dyDescent="0.2">
      <c r="A72" s="444" t="s">
        <v>463</v>
      </c>
      <c r="B72" s="445"/>
      <c r="C72" s="324"/>
      <c r="D72" s="162"/>
      <c r="E72" s="162"/>
      <c r="F72" s="438"/>
      <c r="G72" s="163" t="b">
        <v>0</v>
      </c>
      <c r="H72" s="163"/>
      <c r="I72" s="163"/>
      <c r="J72" s="163"/>
      <c r="K72" s="163"/>
      <c r="L72" s="163"/>
      <c r="M72" s="163"/>
      <c r="N72" s="163"/>
      <c r="O72" s="163"/>
      <c r="P72" s="163"/>
    </row>
    <row r="73" spans="1:16" s="72" customFormat="1" ht="15" customHeight="1" x14ac:dyDescent="0.2">
      <c r="A73" s="446"/>
      <c r="B73" s="447"/>
      <c r="C73" s="325"/>
      <c r="D73" s="164"/>
      <c r="E73" s="164"/>
      <c r="F73" s="438"/>
      <c r="G73" s="163" t="b">
        <v>0</v>
      </c>
      <c r="H73" s="163"/>
      <c r="I73" s="163"/>
      <c r="J73" s="163"/>
      <c r="K73" s="163"/>
      <c r="L73" s="163"/>
      <c r="M73" s="163"/>
      <c r="N73" s="163"/>
      <c r="O73" s="163"/>
      <c r="P73" s="163"/>
    </row>
    <row r="74" spans="1:16" s="72" customFormat="1" ht="12.75" customHeight="1" x14ac:dyDescent="0.2">
      <c r="A74" s="446"/>
      <c r="B74" s="447"/>
      <c r="C74" s="132">
        <v>0</v>
      </c>
      <c r="D74" s="164"/>
      <c r="E74" s="164"/>
      <c r="F74" s="438"/>
      <c r="G74" s="163"/>
      <c r="H74" s="163"/>
      <c r="I74" s="163"/>
      <c r="J74" s="163"/>
      <c r="K74" s="163"/>
      <c r="L74" s="163"/>
      <c r="M74" s="163"/>
      <c r="N74" s="163"/>
      <c r="O74" s="163"/>
      <c r="P74" s="163"/>
    </row>
    <row r="75" spans="1:16" s="72" customFormat="1" ht="12.75" customHeight="1" x14ac:dyDescent="0.2">
      <c r="A75" s="446"/>
      <c r="B75" s="447"/>
      <c r="C75" s="132">
        <v>0</v>
      </c>
      <c r="D75" s="164"/>
      <c r="E75" s="164"/>
      <c r="F75" s="438"/>
      <c r="G75" s="163"/>
      <c r="H75" s="163"/>
      <c r="I75" s="163"/>
      <c r="J75" s="163"/>
      <c r="K75" s="163"/>
      <c r="L75" s="163"/>
      <c r="M75" s="163"/>
      <c r="N75" s="163"/>
      <c r="O75" s="163"/>
      <c r="P75" s="163"/>
    </row>
    <row r="76" spans="1:16" s="72" customFormat="1" ht="12" customHeight="1" x14ac:dyDescent="0.2">
      <c r="A76" s="446"/>
      <c r="B76" s="447"/>
      <c r="C76" s="132">
        <v>0</v>
      </c>
      <c r="D76" s="164"/>
      <c r="E76" s="164"/>
      <c r="F76" s="438"/>
      <c r="G76" s="163"/>
      <c r="H76" s="163"/>
      <c r="I76" s="163"/>
      <c r="J76" s="163"/>
      <c r="K76" s="163"/>
      <c r="L76" s="163"/>
      <c r="M76" s="163"/>
      <c r="N76" s="163"/>
      <c r="O76" s="163"/>
      <c r="P76" s="163"/>
    </row>
    <row r="77" spans="1:16" s="27" customFormat="1" ht="12.95" customHeight="1" x14ac:dyDescent="0.2">
      <c r="A77" s="8" t="s">
        <v>215</v>
      </c>
      <c r="B77" s="8" t="s">
        <v>42</v>
      </c>
      <c r="C77" s="80"/>
      <c r="D77" s="8">
        <v>4</v>
      </c>
      <c r="E77" s="35">
        <f>MIN(4,G78+H78+I78+J78+K78+L78)</f>
        <v>0</v>
      </c>
      <c r="F77" s="439"/>
      <c r="G77" s="371"/>
      <c r="H77" s="371"/>
      <c r="I77" s="371"/>
      <c r="J77" s="371"/>
      <c r="K77" s="371"/>
      <c r="L77" s="371"/>
      <c r="M77" s="372"/>
      <c r="N77" s="372"/>
      <c r="O77" s="372"/>
      <c r="P77" s="372"/>
    </row>
    <row r="78" spans="1:16" ht="20.100000000000001" customHeight="1" x14ac:dyDescent="0.2">
      <c r="A78" s="430" t="s">
        <v>164</v>
      </c>
      <c r="B78" s="431"/>
      <c r="C78" s="442">
        <v>0</v>
      </c>
      <c r="D78" s="415"/>
      <c r="E78" s="415"/>
      <c r="F78" s="440"/>
      <c r="G78" s="135">
        <f>0.01*C78</f>
        <v>0</v>
      </c>
      <c r="H78" s="135">
        <f>IF(AND(C80&gt;=50,C80&lt;70),1,IF(C80&gt;=70,2,0))</f>
        <v>0</v>
      </c>
      <c r="I78" s="135">
        <f>IF(AND(C81&gt;=0.2,C81&lt;0.4),3,IF(C81&gt;=0.4,4,0))</f>
        <v>0</v>
      </c>
      <c r="J78" s="135">
        <f>IF(AND(C82&gt;-1, C82&lt;1),4,0)</f>
        <v>0</v>
      </c>
      <c r="K78" s="135">
        <f>IF(AND(C83&gt;=4,C84&gt;=1),4,0)</f>
        <v>0</v>
      </c>
    </row>
    <row r="79" spans="1:16" s="72" customFormat="1" ht="33" customHeight="1" x14ac:dyDescent="0.15">
      <c r="A79" s="444" t="s">
        <v>464</v>
      </c>
      <c r="B79" s="445"/>
      <c r="C79" s="443"/>
      <c r="D79" s="416"/>
      <c r="E79" s="416"/>
      <c r="F79" s="440"/>
      <c r="G79" s="163"/>
      <c r="H79" s="163"/>
      <c r="I79" s="163"/>
      <c r="J79" s="163"/>
      <c r="K79" s="163"/>
      <c r="L79" s="163"/>
      <c r="M79" s="163"/>
      <c r="N79" s="163"/>
      <c r="O79" s="163"/>
      <c r="P79" s="163"/>
    </row>
    <row r="80" spans="1:16" s="72" customFormat="1" ht="39.75" customHeight="1" x14ac:dyDescent="0.2">
      <c r="A80" s="446"/>
      <c r="B80" s="447"/>
      <c r="C80" s="132">
        <v>0</v>
      </c>
      <c r="D80" s="416"/>
      <c r="E80" s="416"/>
      <c r="F80" s="440"/>
      <c r="G80" s="163"/>
      <c r="H80" s="163"/>
      <c r="I80" s="163"/>
      <c r="J80" s="163"/>
      <c r="K80" s="163"/>
      <c r="L80" s="163"/>
      <c r="M80" s="163"/>
      <c r="N80" s="163"/>
      <c r="O80" s="163"/>
      <c r="P80" s="163"/>
    </row>
    <row r="81" spans="1:16" s="72" customFormat="1" ht="53.25" customHeight="1" x14ac:dyDescent="0.2">
      <c r="A81" s="446"/>
      <c r="B81" s="447"/>
      <c r="C81" s="132">
        <v>0</v>
      </c>
      <c r="D81" s="416"/>
      <c r="E81" s="416"/>
      <c r="F81" s="440"/>
      <c r="G81" s="163"/>
      <c r="H81" s="163"/>
      <c r="I81" s="163"/>
      <c r="J81" s="163"/>
      <c r="K81" s="163"/>
      <c r="L81" s="163"/>
      <c r="M81" s="163"/>
      <c r="N81" s="163"/>
      <c r="O81" s="163"/>
      <c r="P81" s="163"/>
    </row>
    <row r="82" spans="1:16" s="72" customFormat="1" ht="41.25" customHeight="1" x14ac:dyDescent="0.2">
      <c r="A82" s="446"/>
      <c r="B82" s="447"/>
      <c r="C82" s="132" t="s">
        <v>353</v>
      </c>
      <c r="D82" s="416"/>
      <c r="E82" s="416"/>
      <c r="F82" s="440"/>
      <c r="G82" s="163"/>
      <c r="H82" s="163"/>
      <c r="I82" s="163"/>
      <c r="J82" s="163"/>
      <c r="K82" s="163"/>
      <c r="L82" s="163"/>
      <c r="M82" s="163"/>
      <c r="N82" s="163"/>
      <c r="O82" s="163"/>
      <c r="P82" s="163"/>
    </row>
    <row r="83" spans="1:16" s="72" customFormat="1" ht="12" customHeight="1" x14ac:dyDescent="0.2">
      <c r="A83" s="446"/>
      <c r="B83" s="447"/>
      <c r="C83" s="132">
        <v>0</v>
      </c>
      <c r="D83" s="416"/>
      <c r="E83" s="416"/>
      <c r="F83" s="440"/>
      <c r="G83" s="163"/>
      <c r="H83" s="163"/>
      <c r="I83" s="163"/>
      <c r="J83" s="163"/>
      <c r="K83" s="163"/>
      <c r="L83" s="163"/>
      <c r="M83" s="163"/>
      <c r="N83" s="163"/>
      <c r="O83" s="163"/>
      <c r="P83" s="163"/>
    </row>
    <row r="84" spans="1:16" s="72" customFormat="1" ht="12" customHeight="1" x14ac:dyDescent="0.2">
      <c r="A84" s="448"/>
      <c r="B84" s="449"/>
      <c r="C84" s="132">
        <v>0</v>
      </c>
      <c r="D84" s="417"/>
      <c r="E84" s="417"/>
      <c r="F84" s="441"/>
      <c r="G84" s="163"/>
      <c r="H84" s="163"/>
      <c r="I84" s="163"/>
      <c r="J84" s="163"/>
      <c r="K84" s="163"/>
      <c r="L84" s="163"/>
      <c r="M84" s="163"/>
      <c r="N84" s="163"/>
      <c r="O84" s="163"/>
      <c r="P84" s="163"/>
    </row>
    <row r="85" spans="1:16" s="27" customFormat="1" ht="24.95" customHeight="1" x14ac:dyDescent="0.2">
      <c r="A85" s="419" t="s">
        <v>309</v>
      </c>
      <c r="B85" s="419"/>
      <c r="C85" s="81"/>
      <c r="D85" s="29">
        <v>1</v>
      </c>
      <c r="E85" s="36">
        <f>IF(G86,1,0)</f>
        <v>0</v>
      </c>
      <c r="F85" s="435"/>
      <c r="G85" s="371"/>
      <c r="H85" s="371"/>
      <c r="I85" s="371"/>
      <c r="J85" s="371"/>
      <c r="K85" s="371"/>
      <c r="L85" s="371"/>
      <c r="M85" s="372"/>
      <c r="N85" s="372"/>
      <c r="O85" s="372"/>
      <c r="P85" s="372"/>
    </row>
    <row r="86" spans="1:16" s="28" customFormat="1" ht="33.950000000000003" customHeight="1" x14ac:dyDescent="0.2">
      <c r="A86" s="434" t="s">
        <v>277</v>
      </c>
      <c r="B86" s="434"/>
      <c r="C86" s="131"/>
      <c r="D86" s="11"/>
      <c r="E86" s="37"/>
      <c r="F86" s="436"/>
      <c r="G86" s="130" t="b">
        <v>0</v>
      </c>
      <c r="H86" s="130"/>
      <c r="I86" s="130"/>
      <c r="J86" s="130"/>
      <c r="K86" s="130"/>
      <c r="L86" s="130"/>
      <c r="M86" s="130"/>
      <c r="N86" s="130"/>
      <c r="O86" s="130"/>
      <c r="P86" s="130"/>
    </row>
    <row r="87" spans="1:16" hidden="1" x14ac:dyDescent="0.2">
      <c r="A87" s="9"/>
      <c r="B87" s="9"/>
      <c r="C87" s="82"/>
      <c r="D87" s="9"/>
      <c r="E87" s="34"/>
      <c r="F87" s="9"/>
    </row>
    <row r="88" spans="1:16" ht="9.75" customHeight="1" x14ac:dyDescent="0.2">
      <c r="A88" s="9"/>
      <c r="B88" s="9"/>
      <c r="C88" s="82"/>
      <c r="D88" s="9"/>
      <c r="E88" s="34"/>
      <c r="F88" s="9"/>
    </row>
    <row r="89" spans="1:16" x14ac:dyDescent="0.2">
      <c r="A89" s="1" t="s">
        <v>92</v>
      </c>
      <c r="B89" s="2"/>
      <c r="C89" s="76"/>
      <c r="D89" s="2">
        <v>30</v>
      </c>
      <c r="E89" s="358">
        <f>SUM(E8,E35,E61)</f>
        <v>0</v>
      </c>
      <c r="F89" s="2"/>
    </row>
    <row r="90" spans="1:16" x14ac:dyDescent="0.2">
      <c r="A90" s="12" t="s">
        <v>1</v>
      </c>
      <c r="B90" s="13"/>
      <c r="C90" s="85"/>
      <c r="D90" s="13"/>
      <c r="E90" s="359">
        <f>SUM(E9+E36+E62)</f>
        <v>0</v>
      </c>
      <c r="F90" s="13"/>
    </row>
    <row r="91" spans="1:16" x14ac:dyDescent="0.2">
      <c r="A91" s="9"/>
      <c r="B91" s="9"/>
      <c r="C91" s="82"/>
      <c r="D91" s="9"/>
      <c r="E91" s="34"/>
      <c r="F91" s="9"/>
    </row>
    <row r="92" spans="1:16" ht="12.95" customHeight="1" x14ac:dyDescent="0.2">
      <c r="A92" s="429" t="s">
        <v>93</v>
      </c>
      <c r="B92" s="429"/>
      <c r="C92" s="82"/>
      <c r="D92" s="20"/>
      <c r="E92" s="70"/>
      <c r="F92" s="20"/>
    </row>
    <row r="93" spans="1:16" x14ac:dyDescent="0.2">
      <c r="A93" s="471"/>
      <c r="B93" s="471"/>
      <c r="C93" s="471"/>
      <c r="D93" s="471"/>
      <c r="E93" s="471"/>
      <c r="F93" s="471"/>
    </row>
    <row r="94" spans="1:16" x14ac:dyDescent="0.2">
      <c r="A94" s="471"/>
      <c r="B94" s="471"/>
      <c r="C94" s="471"/>
      <c r="D94" s="471"/>
      <c r="E94" s="471"/>
      <c r="F94" s="471"/>
    </row>
    <row r="95" spans="1:16" x14ac:dyDescent="0.2">
      <c r="A95" s="471"/>
      <c r="B95" s="471"/>
      <c r="C95" s="471"/>
      <c r="D95" s="471"/>
      <c r="E95" s="471"/>
      <c r="F95" s="471"/>
    </row>
    <row r="96" spans="1:16" x14ac:dyDescent="0.2">
      <c r="A96" s="471"/>
      <c r="B96" s="471"/>
      <c r="C96" s="471"/>
      <c r="D96" s="471"/>
      <c r="E96" s="471"/>
      <c r="F96" s="471"/>
    </row>
    <row r="97" spans="1:6" x14ac:dyDescent="0.2">
      <c r="A97" s="471"/>
      <c r="B97" s="471"/>
      <c r="C97" s="471"/>
      <c r="D97" s="471"/>
      <c r="E97" s="471"/>
      <c r="F97" s="471"/>
    </row>
    <row r="98" spans="1:6" x14ac:dyDescent="0.2">
      <c r="A98" s="471"/>
      <c r="B98" s="471"/>
      <c r="C98" s="471"/>
      <c r="D98" s="471"/>
      <c r="E98" s="471"/>
      <c r="F98" s="471"/>
    </row>
    <row r="99" spans="1:6" ht="12.75" customHeight="1" x14ac:dyDescent="0.2">
      <c r="A99" s="471"/>
      <c r="B99" s="471"/>
      <c r="C99" s="471"/>
      <c r="D99" s="471"/>
      <c r="E99" s="471"/>
      <c r="F99" s="471"/>
    </row>
    <row r="100" spans="1:6" ht="18.75" customHeight="1" x14ac:dyDescent="0.2">
      <c r="B100" s="9"/>
      <c r="C100" s="9"/>
      <c r="D100" s="9"/>
      <c r="E100" s="9"/>
      <c r="F100" s="9"/>
    </row>
    <row r="101" spans="1:6" ht="6" customHeight="1" x14ac:dyDescent="0.2">
      <c r="B101" s="9"/>
      <c r="C101" s="9"/>
      <c r="D101" s="9"/>
      <c r="E101" s="9"/>
      <c r="F101" s="9"/>
    </row>
    <row r="102" spans="1:6" x14ac:dyDescent="0.2">
      <c r="B102" s="9"/>
      <c r="C102" s="9"/>
      <c r="D102" s="9"/>
      <c r="E102" s="9"/>
      <c r="F102" s="9"/>
    </row>
    <row r="103" spans="1:6" x14ac:dyDescent="0.2">
      <c r="B103" s="9"/>
      <c r="C103" s="9"/>
      <c r="D103" s="9"/>
      <c r="E103" s="9"/>
      <c r="F103" s="9"/>
    </row>
    <row r="104" spans="1:6" x14ac:dyDescent="0.2">
      <c r="B104" s="9"/>
      <c r="C104" s="9"/>
      <c r="D104" s="9"/>
      <c r="E104" s="9"/>
      <c r="F104" s="9"/>
    </row>
    <row r="105" spans="1:6" x14ac:dyDescent="0.2">
      <c r="B105" s="9"/>
      <c r="C105" s="9"/>
      <c r="D105" s="9"/>
      <c r="E105" s="9"/>
      <c r="F105" s="9"/>
    </row>
    <row r="106" spans="1:6" x14ac:dyDescent="0.2">
      <c r="B106" s="9"/>
      <c r="C106" s="9"/>
      <c r="D106" s="9"/>
      <c r="E106" s="9"/>
      <c r="F106" s="9"/>
    </row>
    <row r="107" spans="1:6" x14ac:dyDescent="0.2">
      <c r="B107" s="9"/>
      <c r="C107" s="9"/>
      <c r="D107" s="9"/>
      <c r="E107" s="9"/>
      <c r="F107" s="9"/>
    </row>
    <row r="108" spans="1:6" x14ac:dyDescent="0.2">
      <c r="B108" s="9"/>
      <c r="C108" s="9"/>
      <c r="D108" s="9"/>
      <c r="E108" s="9"/>
      <c r="F108" s="9"/>
    </row>
    <row r="109" spans="1:6" x14ac:dyDescent="0.2">
      <c r="B109" s="9"/>
      <c r="C109" s="9"/>
      <c r="D109" s="9"/>
      <c r="E109" s="9"/>
      <c r="F109" s="9"/>
    </row>
    <row r="110" spans="1:6" x14ac:dyDescent="0.2">
      <c r="B110" s="9"/>
      <c r="C110" s="9"/>
      <c r="D110" s="9"/>
      <c r="E110" s="9"/>
      <c r="F110" s="9"/>
    </row>
    <row r="111" spans="1:6" x14ac:dyDescent="0.2">
      <c r="B111" s="9"/>
      <c r="C111" s="9"/>
      <c r="D111" s="9"/>
      <c r="E111" s="9"/>
      <c r="F111" s="9"/>
    </row>
    <row r="112" spans="1:6" x14ac:dyDescent="0.2">
      <c r="B112" s="9"/>
      <c r="C112" s="9"/>
      <c r="D112" s="9"/>
      <c r="E112" s="9"/>
      <c r="F112" s="9"/>
    </row>
    <row r="113" spans="2:6" x14ac:dyDescent="0.2">
      <c r="B113" s="9"/>
      <c r="C113" s="9"/>
      <c r="D113" s="9"/>
      <c r="E113" s="9"/>
      <c r="F113" s="9"/>
    </row>
    <row r="114" spans="2:6" x14ac:dyDescent="0.2">
      <c r="B114" s="9"/>
      <c r="C114" s="9"/>
      <c r="D114" s="9"/>
      <c r="E114" s="9"/>
      <c r="F114" s="9"/>
    </row>
    <row r="115" spans="2:6" x14ac:dyDescent="0.2">
      <c r="B115" s="9"/>
      <c r="C115" s="9"/>
      <c r="D115" s="9"/>
      <c r="E115" s="9"/>
      <c r="F115" s="9"/>
    </row>
    <row r="116" spans="2:6" x14ac:dyDescent="0.2">
      <c r="B116" s="9"/>
      <c r="C116" s="9"/>
      <c r="D116" s="9"/>
      <c r="E116" s="9"/>
      <c r="F116" s="9"/>
    </row>
    <row r="117" spans="2:6" x14ac:dyDescent="0.2">
      <c r="B117" s="9"/>
      <c r="C117" s="9"/>
      <c r="D117" s="9"/>
      <c r="E117" s="9"/>
      <c r="F117" s="9"/>
    </row>
    <row r="118" spans="2:6" x14ac:dyDescent="0.2">
      <c r="B118" s="9"/>
      <c r="C118" s="9"/>
      <c r="D118" s="9"/>
      <c r="E118" s="9"/>
      <c r="F118" s="9"/>
    </row>
  </sheetData>
  <sheetProtection algorithmName="SHA-512" hashValue="jd+8+BC6r3TwM7cM75nVlCduRqITk/MJBYFwqlZWdGEoYwfjVaygFjr3aEdHcXcPBf4yaoAA+PNFO4a/3WNcmA==" saltValue="svFRB/uTQHW7gZ6l33AsDg==" spinCount="100000" sheet="1" objects="1" scenarios="1"/>
  <mergeCells count="90">
    <mergeCell ref="A93:F99"/>
    <mergeCell ref="A20:B20"/>
    <mergeCell ref="A19:B19"/>
    <mergeCell ref="A40:B40"/>
    <mergeCell ref="A41:B41"/>
    <mergeCell ref="F40:F41"/>
    <mergeCell ref="A52:B52"/>
    <mergeCell ref="A53:B53"/>
    <mergeCell ref="F52:F53"/>
    <mergeCell ref="A42:B42"/>
    <mergeCell ref="A31:B31"/>
    <mergeCell ref="C31:C32"/>
    <mergeCell ref="A49:B49"/>
    <mergeCell ref="A21:B21"/>
    <mergeCell ref="A22:B22"/>
    <mergeCell ref="A32:B33"/>
    <mergeCell ref="C11:C12"/>
    <mergeCell ref="F10:F12"/>
    <mergeCell ref="A16:B16"/>
    <mergeCell ref="A15:B15"/>
    <mergeCell ref="A17:B17"/>
    <mergeCell ref="A14:B14"/>
    <mergeCell ref="A18:B18"/>
    <mergeCell ref="F44:F45"/>
    <mergeCell ref="F46:F47"/>
    <mergeCell ref="F23:F29"/>
    <mergeCell ref="A64:B64"/>
    <mergeCell ref="F63:F64"/>
    <mergeCell ref="A24:B29"/>
    <mergeCell ref="A51:B51"/>
    <mergeCell ref="F67:F68"/>
    <mergeCell ref="D31:D32"/>
    <mergeCell ref="E31:E32"/>
    <mergeCell ref="A39:B39"/>
    <mergeCell ref="A38:B38"/>
    <mergeCell ref="F56:F57"/>
    <mergeCell ref="F58:F59"/>
    <mergeCell ref="A54:B54"/>
    <mergeCell ref="A55:B55"/>
    <mergeCell ref="F50:F51"/>
    <mergeCell ref="F54:F55"/>
    <mergeCell ref="A56:B56"/>
    <mergeCell ref="A2:D2"/>
    <mergeCell ref="B3:D3"/>
    <mergeCell ref="B4:D4"/>
    <mergeCell ref="B5:D5"/>
    <mergeCell ref="F48:F49"/>
    <mergeCell ref="F13:F20"/>
    <mergeCell ref="D24:D29"/>
    <mergeCell ref="E24:E29"/>
    <mergeCell ref="A9:B9"/>
    <mergeCell ref="A36:B36"/>
    <mergeCell ref="D11:D12"/>
    <mergeCell ref="E11:E12"/>
    <mergeCell ref="A11:B11"/>
    <mergeCell ref="A12:B12"/>
    <mergeCell ref="A43:B43"/>
    <mergeCell ref="A44:B44"/>
    <mergeCell ref="A92:B92"/>
    <mergeCell ref="A69:B69"/>
    <mergeCell ref="A85:B85"/>
    <mergeCell ref="A78:B78"/>
    <mergeCell ref="F21:F22"/>
    <mergeCell ref="A86:B86"/>
    <mergeCell ref="F69:F70"/>
    <mergeCell ref="F71:F76"/>
    <mergeCell ref="F77:F84"/>
    <mergeCell ref="F85:F86"/>
    <mergeCell ref="C78:C79"/>
    <mergeCell ref="F65:F66"/>
    <mergeCell ref="A66:B66"/>
    <mergeCell ref="A72:B76"/>
    <mergeCell ref="A79:B84"/>
    <mergeCell ref="A68:B68"/>
    <mergeCell ref="D78:D84"/>
    <mergeCell ref="E78:E84"/>
    <mergeCell ref="A62:B62"/>
    <mergeCell ref="A67:B67"/>
    <mergeCell ref="F30:F32"/>
    <mergeCell ref="F38:F39"/>
    <mergeCell ref="F42:F43"/>
    <mergeCell ref="A45:B45"/>
    <mergeCell ref="A46:B46"/>
    <mergeCell ref="A47:B47"/>
    <mergeCell ref="A70:B70"/>
    <mergeCell ref="A57:B57"/>
    <mergeCell ref="A58:B58"/>
    <mergeCell ref="A59:B59"/>
    <mergeCell ref="A65:B65"/>
    <mergeCell ref="A50:B50"/>
  </mergeCells>
  <conditionalFormatting sqref="E3:E5">
    <cfRule type="containsText" dxfId="7" priority="1" operator="containsText" text="No">
      <formula>NOT(ISERROR(SEARCH("No",E3)))</formula>
    </cfRule>
    <cfRule type="containsText" dxfId="6" priority="2" operator="containsText" text="Yes">
      <formula>NOT(ISERROR(SEARCH("Yes",E3)))</formula>
    </cfRule>
  </conditionalFormatting>
  <pageMargins left="0.39370078740157483" right="0.39370078740157483" top="0.31496062992125984" bottom="0.31496062992125984" header="0.31496062992125984" footer="0.23622047244094491"/>
  <pageSetup paperSize="9" scale="108" firstPageNumber="3" pageOrder="overThenDown" orientation="portrait" useFirstPageNumber="1" r:id="rId1"/>
  <headerFooter>
    <oddFooter xml:space="preserve">&amp;RPage &amp;P </oddFooter>
  </headerFooter>
  <rowBreaks count="2" manualBreakCount="2">
    <brk id="33" max="5" man="1"/>
    <brk id="5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xdr:col>
                    <xdr:colOff>161925</xdr:colOff>
                    <xdr:row>10</xdr:row>
                    <xdr:rowOff>123825</xdr:rowOff>
                  </from>
                  <to>
                    <xdr:col>2</xdr:col>
                    <xdr:colOff>476250</xdr:colOff>
                    <xdr:row>11</xdr:row>
                    <xdr:rowOff>200025</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4</xdr:col>
                    <xdr:colOff>133350</xdr:colOff>
                    <xdr:row>2</xdr:row>
                    <xdr:rowOff>161925</xdr:rowOff>
                  </from>
                  <to>
                    <xdr:col>5</xdr:col>
                    <xdr:colOff>57150</xdr:colOff>
                    <xdr:row>4</xdr:row>
                    <xdr:rowOff>9525</xdr:rowOff>
                  </to>
                </anchor>
              </controlPr>
            </control>
          </mc:Choice>
        </mc:AlternateContent>
        <mc:AlternateContent xmlns:mc="http://schemas.openxmlformats.org/markup-compatibility/2006">
          <mc:Choice Requires="x14">
            <control shapeId="2053" r:id="rId6" name="Check Box 5">
              <controlPr locked="0" defaultSize="0" autoFill="0" autoLine="0" autoPict="0">
                <anchor moveWithCells="1">
                  <from>
                    <xdr:col>4</xdr:col>
                    <xdr:colOff>133350</xdr:colOff>
                    <xdr:row>4</xdr:row>
                    <xdr:rowOff>0</xdr:rowOff>
                  </from>
                  <to>
                    <xdr:col>5</xdr:col>
                    <xdr:colOff>57150</xdr:colOff>
                    <xdr:row>5</xdr:row>
                    <xdr:rowOff>9525</xdr:rowOff>
                  </to>
                </anchor>
              </controlPr>
            </control>
          </mc:Choice>
        </mc:AlternateContent>
        <mc:AlternateContent xmlns:mc="http://schemas.openxmlformats.org/markup-compatibility/2006">
          <mc:Choice Requires="x14">
            <control shapeId="2055" r:id="rId7" name="Check Box 7">
              <controlPr locked="0" defaultSize="0" autoFill="0" autoLine="0" autoPict="0">
                <anchor moveWithCells="1">
                  <from>
                    <xdr:col>4</xdr:col>
                    <xdr:colOff>133350</xdr:colOff>
                    <xdr:row>2</xdr:row>
                    <xdr:rowOff>0</xdr:rowOff>
                  </from>
                  <to>
                    <xdr:col>5</xdr:col>
                    <xdr:colOff>57150</xdr:colOff>
                    <xdr:row>3</xdr:row>
                    <xdr:rowOff>9525</xdr:rowOff>
                  </to>
                </anchor>
              </controlPr>
            </control>
          </mc:Choice>
        </mc:AlternateContent>
        <mc:AlternateContent xmlns:mc="http://schemas.openxmlformats.org/markup-compatibility/2006">
          <mc:Choice Requires="x14">
            <control shapeId="2058" r:id="rId8" name="Check Box 10">
              <controlPr locked="0" defaultSize="0" autoFill="0" autoLine="0" autoPict="0">
                <anchor moveWithCells="1">
                  <from>
                    <xdr:col>2</xdr:col>
                    <xdr:colOff>152400</xdr:colOff>
                    <xdr:row>15</xdr:row>
                    <xdr:rowOff>190500</xdr:rowOff>
                  </from>
                  <to>
                    <xdr:col>2</xdr:col>
                    <xdr:colOff>485775</xdr:colOff>
                    <xdr:row>16</xdr:row>
                    <xdr:rowOff>47625</xdr:rowOff>
                  </to>
                </anchor>
              </controlPr>
            </control>
          </mc:Choice>
        </mc:AlternateContent>
        <mc:AlternateContent xmlns:mc="http://schemas.openxmlformats.org/markup-compatibility/2006">
          <mc:Choice Requires="x14">
            <control shapeId="2071" r:id="rId9" name="Check Box 23">
              <controlPr locked="0" defaultSize="0" autoFill="0" autoLine="0" autoPict="0">
                <anchor moveWithCells="1">
                  <from>
                    <xdr:col>2</xdr:col>
                    <xdr:colOff>152400</xdr:colOff>
                    <xdr:row>31</xdr:row>
                    <xdr:rowOff>361950</xdr:rowOff>
                  </from>
                  <to>
                    <xdr:col>3</xdr:col>
                    <xdr:colOff>47625</xdr:colOff>
                    <xdr:row>31</xdr:row>
                    <xdr:rowOff>533400</xdr:rowOff>
                  </to>
                </anchor>
              </controlPr>
            </control>
          </mc:Choice>
        </mc:AlternateContent>
        <mc:AlternateContent xmlns:mc="http://schemas.openxmlformats.org/markup-compatibility/2006">
          <mc:Choice Requires="x14">
            <control shapeId="2072" r:id="rId10" name="Check Box 24">
              <controlPr locked="0" defaultSize="0" autoFill="0" autoLine="0" autoPict="0">
                <anchor moveWithCells="1">
                  <from>
                    <xdr:col>2</xdr:col>
                    <xdr:colOff>152400</xdr:colOff>
                    <xdr:row>31</xdr:row>
                    <xdr:rowOff>495300</xdr:rowOff>
                  </from>
                  <to>
                    <xdr:col>3</xdr:col>
                    <xdr:colOff>47625</xdr:colOff>
                    <xdr:row>31</xdr:row>
                    <xdr:rowOff>666750</xdr:rowOff>
                  </to>
                </anchor>
              </controlPr>
            </control>
          </mc:Choice>
        </mc:AlternateContent>
        <mc:AlternateContent xmlns:mc="http://schemas.openxmlformats.org/markup-compatibility/2006">
          <mc:Choice Requires="x14">
            <control shapeId="2073" r:id="rId11" name="Check Box 25">
              <controlPr locked="0" defaultSize="0" autoFill="0" autoLine="0" autoPict="0">
                <anchor moveWithCells="1">
                  <from>
                    <xdr:col>2</xdr:col>
                    <xdr:colOff>152400</xdr:colOff>
                    <xdr:row>31</xdr:row>
                    <xdr:rowOff>752475</xdr:rowOff>
                  </from>
                  <to>
                    <xdr:col>3</xdr:col>
                    <xdr:colOff>47625</xdr:colOff>
                    <xdr:row>31</xdr:row>
                    <xdr:rowOff>942975</xdr:rowOff>
                  </to>
                </anchor>
              </controlPr>
            </control>
          </mc:Choice>
        </mc:AlternateContent>
        <mc:AlternateContent xmlns:mc="http://schemas.openxmlformats.org/markup-compatibility/2006">
          <mc:Choice Requires="x14">
            <control shapeId="2074" r:id="rId12" name="Check Box 26">
              <controlPr locked="0" defaultSize="0" autoFill="0" autoLine="0" autoPict="0">
                <anchor moveWithCells="1">
                  <from>
                    <xdr:col>2</xdr:col>
                    <xdr:colOff>152400</xdr:colOff>
                    <xdr:row>38</xdr:row>
                    <xdr:rowOff>228600</xdr:rowOff>
                  </from>
                  <to>
                    <xdr:col>3</xdr:col>
                    <xdr:colOff>47625</xdr:colOff>
                    <xdr:row>38</xdr:row>
                    <xdr:rowOff>400050</xdr:rowOff>
                  </to>
                </anchor>
              </controlPr>
            </control>
          </mc:Choice>
        </mc:AlternateContent>
        <mc:AlternateContent xmlns:mc="http://schemas.openxmlformats.org/markup-compatibility/2006">
          <mc:Choice Requires="x14">
            <control shapeId="2075" r:id="rId13" name="Check Box 27">
              <controlPr locked="0" defaultSize="0" autoFill="0" autoLine="0" autoPict="0">
                <anchor moveWithCells="1">
                  <from>
                    <xdr:col>2</xdr:col>
                    <xdr:colOff>152400</xdr:colOff>
                    <xdr:row>38</xdr:row>
                    <xdr:rowOff>419100</xdr:rowOff>
                  </from>
                  <to>
                    <xdr:col>3</xdr:col>
                    <xdr:colOff>47625</xdr:colOff>
                    <xdr:row>39</xdr:row>
                    <xdr:rowOff>9525</xdr:rowOff>
                  </to>
                </anchor>
              </controlPr>
            </control>
          </mc:Choice>
        </mc:AlternateContent>
        <mc:AlternateContent xmlns:mc="http://schemas.openxmlformats.org/markup-compatibility/2006">
          <mc:Choice Requires="x14">
            <control shapeId="2082" r:id="rId14" name="Check Box 34">
              <controlPr locked="0" defaultSize="0" autoFill="0" autoLine="0" autoPict="0">
                <anchor moveWithCells="1">
                  <from>
                    <xdr:col>2</xdr:col>
                    <xdr:colOff>152400</xdr:colOff>
                    <xdr:row>46</xdr:row>
                    <xdr:rowOff>123825</xdr:rowOff>
                  </from>
                  <to>
                    <xdr:col>3</xdr:col>
                    <xdr:colOff>47625</xdr:colOff>
                    <xdr:row>46</xdr:row>
                    <xdr:rowOff>295275</xdr:rowOff>
                  </to>
                </anchor>
              </controlPr>
            </control>
          </mc:Choice>
        </mc:AlternateContent>
        <mc:AlternateContent xmlns:mc="http://schemas.openxmlformats.org/markup-compatibility/2006">
          <mc:Choice Requires="x14">
            <control shapeId="2083" r:id="rId15" name="Check Box 35">
              <controlPr locked="0" defaultSize="0" autoFill="0" autoLine="0" autoPict="0">
                <anchor moveWithCells="1">
                  <from>
                    <xdr:col>2</xdr:col>
                    <xdr:colOff>152400</xdr:colOff>
                    <xdr:row>46</xdr:row>
                    <xdr:rowOff>419100</xdr:rowOff>
                  </from>
                  <to>
                    <xdr:col>3</xdr:col>
                    <xdr:colOff>47625</xdr:colOff>
                    <xdr:row>46</xdr:row>
                    <xdr:rowOff>590550</xdr:rowOff>
                  </to>
                </anchor>
              </controlPr>
            </control>
          </mc:Choice>
        </mc:AlternateContent>
        <mc:AlternateContent xmlns:mc="http://schemas.openxmlformats.org/markup-compatibility/2006">
          <mc:Choice Requires="x14">
            <control shapeId="2084" r:id="rId16" name="Check Box 36">
              <controlPr locked="0" defaultSize="0" autoFill="0" autoLine="0" autoPict="0">
                <anchor moveWithCells="1">
                  <from>
                    <xdr:col>2</xdr:col>
                    <xdr:colOff>152400</xdr:colOff>
                    <xdr:row>46</xdr:row>
                    <xdr:rowOff>571500</xdr:rowOff>
                  </from>
                  <to>
                    <xdr:col>3</xdr:col>
                    <xdr:colOff>47625</xdr:colOff>
                    <xdr:row>46</xdr:row>
                    <xdr:rowOff>742950</xdr:rowOff>
                  </to>
                </anchor>
              </controlPr>
            </control>
          </mc:Choice>
        </mc:AlternateContent>
        <mc:AlternateContent xmlns:mc="http://schemas.openxmlformats.org/markup-compatibility/2006">
          <mc:Choice Requires="x14">
            <control shapeId="2085" r:id="rId17" name="Check Box 37">
              <controlPr locked="0" defaultSize="0" autoFill="0" autoLine="0" autoPict="0">
                <anchor moveWithCells="1">
                  <from>
                    <xdr:col>2</xdr:col>
                    <xdr:colOff>152400</xdr:colOff>
                    <xdr:row>47</xdr:row>
                    <xdr:rowOff>0</xdr:rowOff>
                  </from>
                  <to>
                    <xdr:col>3</xdr:col>
                    <xdr:colOff>47625</xdr:colOff>
                    <xdr:row>48</xdr:row>
                    <xdr:rowOff>19050</xdr:rowOff>
                  </to>
                </anchor>
              </controlPr>
            </control>
          </mc:Choice>
        </mc:AlternateContent>
        <mc:AlternateContent xmlns:mc="http://schemas.openxmlformats.org/markup-compatibility/2006">
          <mc:Choice Requires="x14">
            <control shapeId="2086" r:id="rId18" name="Check Box 38">
              <controlPr locked="0" defaultSize="0" autoFill="0" autoLine="0" autoPict="0">
                <anchor moveWithCells="1">
                  <from>
                    <xdr:col>2</xdr:col>
                    <xdr:colOff>152400</xdr:colOff>
                    <xdr:row>54</xdr:row>
                    <xdr:rowOff>38100</xdr:rowOff>
                  </from>
                  <to>
                    <xdr:col>3</xdr:col>
                    <xdr:colOff>47625</xdr:colOff>
                    <xdr:row>54</xdr:row>
                    <xdr:rowOff>209550</xdr:rowOff>
                  </to>
                </anchor>
              </controlPr>
            </control>
          </mc:Choice>
        </mc:AlternateContent>
        <mc:AlternateContent xmlns:mc="http://schemas.openxmlformats.org/markup-compatibility/2006">
          <mc:Choice Requires="x14">
            <control shapeId="2087" r:id="rId19" name="Check Box 39">
              <controlPr locked="0" defaultSize="0" autoFill="0" autoLine="0" autoPict="0">
                <anchor moveWithCells="1">
                  <from>
                    <xdr:col>2</xdr:col>
                    <xdr:colOff>152400</xdr:colOff>
                    <xdr:row>54</xdr:row>
                    <xdr:rowOff>247650</xdr:rowOff>
                  </from>
                  <to>
                    <xdr:col>3</xdr:col>
                    <xdr:colOff>47625</xdr:colOff>
                    <xdr:row>54</xdr:row>
                    <xdr:rowOff>419100</xdr:rowOff>
                  </to>
                </anchor>
              </controlPr>
            </control>
          </mc:Choice>
        </mc:AlternateContent>
        <mc:AlternateContent xmlns:mc="http://schemas.openxmlformats.org/markup-compatibility/2006">
          <mc:Choice Requires="x14">
            <control shapeId="2088" r:id="rId20" name="Check Box 40">
              <controlPr locked="0" defaultSize="0" autoFill="0" autoLine="0" autoPict="0">
                <anchor moveWithCells="1">
                  <from>
                    <xdr:col>2</xdr:col>
                    <xdr:colOff>152400</xdr:colOff>
                    <xdr:row>55</xdr:row>
                    <xdr:rowOff>161925</xdr:rowOff>
                  </from>
                  <to>
                    <xdr:col>3</xdr:col>
                    <xdr:colOff>47625</xdr:colOff>
                    <xdr:row>56</xdr:row>
                    <xdr:rowOff>171450</xdr:rowOff>
                  </to>
                </anchor>
              </controlPr>
            </control>
          </mc:Choice>
        </mc:AlternateContent>
        <mc:AlternateContent xmlns:mc="http://schemas.openxmlformats.org/markup-compatibility/2006">
          <mc:Choice Requires="x14">
            <control shapeId="2089" r:id="rId21" name="Check Box 41">
              <controlPr locked="0" defaultSize="0" autoFill="0" autoLine="0" autoPict="0">
                <anchor moveWithCells="1">
                  <from>
                    <xdr:col>2</xdr:col>
                    <xdr:colOff>152400</xdr:colOff>
                    <xdr:row>56</xdr:row>
                    <xdr:rowOff>247650</xdr:rowOff>
                  </from>
                  <to>
                    <xdr:col>3</xdr:col>
                    <xdr:colOff>47625</xdr:colOff>
                    <xdr:row>56</xdr:row>
                    <xdr:rowOff>419100</xdr:rowOff>
                  </to>
                </anchor>
              </controlPr>
            </control>
          </mc:Choice>
        </mc:AlternateContent>
        <mc:AlternateContent xmlns:mc="http://schemas.openxmlformats.org/markup-compatibility/2006">
          <mc:Choice Requires="x14">
            <control shapeId="2090" r:id="rId22" name="Check Box 42">
              <controlPr locked="0" defaultSize="0" autoFill="0" autoLine="0" autoPict="0">
                <anchor moveWithCells="1">
                  <from>
                    <xdr:col>2</xdr:col>
                    <xdr:colOff>152400</xdr:colOff>
                    <xdr:row>56</xdr:row>
                    <xdr:rowOff>390525</xdr:rowOff>
                  </from>
                  <to>
                    <xdr:col>3</xdr:col>
                    <xdr:colOff>47625</xdr:colOff>
                    <xdr:row>56</xdr:row>
                    <xdr:rowOff>561975</xdr:rowOff>
                  </to>
                </anchor>
              </controlPr>
            </control>
          </mc:Choice>
        </mc:AlternateContent>
        <mc:AlternateContent xmlns:mc="http://schemas.openxmlformats.org/markup-compatibility/2006">
          <mc:Choice Requires="x14">
            <control shapeId="2091" r:id="rId23" name="Check Box 43">
              <controlPr locked="0" defaultSize="0" autoFill="0" autoLine="0" autoPict="0">
                <anchor moveWithCells="1">
                  <from>
                    <xdr:col>2</xdr:col>
                    <xdr:colOff>152400</xdr:colOff>
                    <xdr:row>56</xdr:row>
                    <xdr:rowOff>581025</xdr:rowOff>
                  </from>
                  <to>
                    <xdr:col>3</xdr:col>
                    <xdr:colOff>47625</xdr:colOff>
                    <xdr:row>56</xdr:row>
                    <xdr:rowOff>752475</xdr:rowOff>
                  </to>
                </anchor>
              </controlPr>
            </control>
          </mc:Choice>
        </mc:AlternateContent>
        <mc:AlternateContent xmlns:mc="http://schemas.openxmlformats.org/markup-compatibility/2006">
          <mc:Choice Requires="x14">
            <control shapeId="2092" r:id="rId24" name="Check Box 44">
              <controlPr locked="0" defaultSize="0" autoFill="0" autoLine="0" autoPict="0">
                <anchor moveWithCells="1">
                  <from>
                    <xdr:col>2</xdr:col>
                    <xdr:colOff>152400</xdr:colOff>
                    <xdr:row>57</xdr:row>
                    <xdr:rowOff>133350</xdr:rowOff>
                  </from>
                  <to>
                    <xdr:col>3</xdr:col>
                    <xdr:colOff>47625</xdr:colOff>
                    <xdr:row>58</xdr:row>
                    <xdr:rowOff>161925</xdr:rowOff>
                  </to>
                </anchor>
              </controlPr>
            </control>
          </mc:Choice>
        </mc:AlternateContent>
        <mc:AlternateContent xmlns:mc="http://schemas.openxmlformats.org/markup-compatibility/2006">
          <mc:Choice Requires="x14">
            <control shapeId="2095" r:id="rId25" name="Check Box 47">
              <controlPr locked="0" defaultSize="0" autoFill="0" autoLine="0" autoPict="0">
                <anchor moveWithCells="1">
                  <from>
                    <xdr:col>2</xdr:col>
                    <xdr:colOff>152400</xdr:colOff>
                    <xdr:row>69</xdr:row>
                    <xdr:rowOff>0</xdr:rowOff>
                  </from>
                  <to>
                    <xdr:col>3</xdr:col>
                    <xdr:colOff>47625</xdr:colOff>
                    <xdr:row>69</xdr:row>
                    <xdr:rowOff>171450</xdr:rowOff>
                  </to>
                </anchor>
              </controlPr>
            </control>
          </mc:Choice>
        </mc:AlternateContent>
        <mc:AlternateContent xmlns:mc="http://schemas.openxmlformats.org/markup-compatibility/2006">
          <mc:Choice Requires="x14">
            <control shapeId="2097" r:id="rId26" name="Check Box 49">
              <controlPr locked="0" defaultSize="0" autoFill="0" autoLine="0" autoPict="0">
                <anchor moveWithCells="1">
                  <from>
                    <xdr:col>2</xdr:col>
                    <xdr:colOff>152400</xdr:colOff>
                    <xdr:row>85</xdr:row>
                    <xdr:rowOff>0</xdr:rowOff>
                  </from>
                  <to>
                    <xdr:col>3</xdr:col>
                    <xdr:colOff>47625</xdr:colOff>
                    <xdr:row>85</xdr:row>
                    <xdr:rowOff>171450</xdr:rowOff>
                  </to>
                </anchor>
              </controlPr>
            </control>
          </mc:Choice>
        </mc:AlternateContent>
        <mc:AlternateContent xmlns:mc="http://schemas.openxmlformats.org/markup-compatibility/2006">
          <mc:Choice Requires="x14">
            <control shapeId="2098" r:id="rId27" name="Check Box 50">
              <controlPr locked="0" defaultSize="0" autoFill="0" autoLine="0" autoPict="0">
                <anchor moveWithCells="1">
                  <from>
                    <xdr:col>2</xdr:col>
                    <xdr:colOff>152400</xdr:colOff>
                    <xdr:row>42</xdr:row>
                    <xdr:rowOff>285750</xdr:rowOff>
                  </from>
                  <to>
                    <xdr:col>3</xdr:col>
                    <xdr:colOff>47625</xdr:colOff>
                    <xdr:row>42</xdr:row>
                    <xdr:rowOff>457200</xdr:rowOff>
                  </to>
                </anchor>
              </controlPr>
            </control>
          </mc:Choice>
        </mc:AlternateContent>
        <mc:AlternateContent xmlns:mc="http://schemas.openxmlformats.org/markup-compatibility/2006">
          <mc:Choice Requires="x14">
            <control shapeId="2099" r:id="rId28" name="Check Box 51">
              <controlPr locked="0" defaultSize="0" autoFill="0" autoLine="0" autoPict="0">
                <anchor moveWithCells="1">
                  <from>
                    <xdr:col>2</xdr:col>
                    <xdr:colOff>152400</xdr:colOff>
                    <xdr:row>42</xdr:row>
                    <xdr:rowOff>504825</xdr:rowOff>
                  </from>
                  <to>
                    <xdr:col>3</xdr:col>
                    <xdr:colOff>47625</xdr:colOff>
                    <xdr:row>42</xdr:row>
                    <xdr:rowOff>666750</xdr:rowOff>
                  </to>
                </anchor>
              </controlPr>
            </control>
          </mc:Choice>
        </mc:AlternateContent>
        <mc:AlternateContent xmlns:mc="http://schemas.openxmlformats.org/markup-compatibility/2006">
          <mc:Choice Requires="x14">
            <control shapeId="2104" r:id="rId29" name="Check Box 56">
              <controlPr locked="0" defaultSize="0" autoFill="0" autoLine="0" autoPict="0">
                <anchor moveWithCells="1">
                  <from>
                    <xdr:col>2</xdr:col>
                    <xdr:colOff>152400</xdr:colOff>
                    <xdr:row>17</xdr:row>
                    <xdr:rowOff>85725</xdr:rowOff>
                  </from>
                  <to>
                    <xdr:col>3</xdr:col>
                    <xdr:colOff>47625</xdr:colOff>
                    <xdr:row>17</xdr:row>
                    <xdr:rowOff>257175</xdr:rowOff>
                  </to>
                </anchor>
              </controlPr>
            </control>
          </mc:Choice>
        </mc:AlternateContent>
        <mc:AlternateContent xmlns:mc="http://schemas.openxmlformats.org/markup-compatibility/2006">
          <mc:Choice Requires="x14">
            <control shapeId="2105" r:id="rId30" name="Check Box 57">
              <controlPr locked="0" defaultSize="0" autoFill="0" autoLine="0" autoPict="0">
                <anchor moveWithCells="1">
                  <from>
                    <xdr:col>2</xdr:col>
                    <xdr:colOff>152400</xdr:colOff>
                    <xdr:row>19</xdr:row>
                    <xdr:rowOff>495300</xdr:rowOff>
                  </from>
                  <to>
                    <xdr:col>3</xdr:col>
                    <xdr:colOff>47625</xdr:colOff>
                    <xdr:row>19</xdr:row>
                    <xdr:rowOff>666750</xdr:rowOff>
                  </to>
                </anchor>
              </controlPr>
            </control>
          </mc:Choice>
        </mc:AlternateContent>
        <mc:AlternateContent xmlns:mc="http://schemas.openxmlformats.org/markup-compatibility/2006">
          <mc:Choice Requires="x14">
            <control shapeId="2107" r:id="rId31" name="Check Box 59">
              <controlPr locked="0" defaultSize="0" autoFill="0" autoLine="0" autoPict="0">
                <anchor moveWithCells="1">
                  <from>
                    <xdr:col>2</xdr:col>
                    <xdr:colOff>152400</xdr:colOff>
                    <xdr:row>21</xdr:row>
                    <xdr:rowOff>0</xdr:rowOff>
                  </from>
                  <to>
                    <xdr:col>3</xdr:col>
                    <xdr:colOff>47625</xdr:colOff>
                    <xdr:row>21</xdr:row>
                    <xdr:rowOff>171450</xdr:rowOff>
                  </to>
                </anchor>
              </controlPr>
            </control>
          </mc:Choice>
        </mc:AlternateContent>
        <mc:AlternateContent xmlns:mc="http://schemas.openxmlformats.org/markup-compatibility/2006">
          <mc:Choice Requires="x14">
            <control shapeId="2108" r:id="rId32" name="Check Box 60">
              <controlPr locked="0" defaultSize="0" autoFill="0" autoLine="0" autoPict="0">
                <anchor moveWithCells="1">
                  <from>
                    <xdr:col>2</xdr:col>
                    <xdr:colOff>152400</xdr:colOff>
                    <xdr:row>21</xdr:row>
                    <xdr:rowOff>142875</xdr:rowOff>
                  </from>
                  <to>
                    <xdr:col>3</xdr:col>
                    <xdr:colOff>47625</xdr:colOff>
                    <xdr:row>21</xdr:row>
                    <xdr:rowOff>314325</xdr:rowOff>
                  </to>
                </anchor>
              </controlPr>
            </control>
          </mc:Choice>
        </mc:AlternateContent>
        <mc:AlternateContent xmlns:mc="http://schemas.openxmlformats.org/markup-compatibility/2006">
          <mc:Choice Requires="x14">
            <control shapeId="2109" r:id="rId33" name="Check Box 61">
              <controlPr locked="0" defaultSize="0" autoFill="0" autoLine="0" autoPict="0">
                <anchor moveWithCells="1">
                  <from>
                    <xdr:col>2</xdr:col>
                    <xdr:colOff>152400</xdr:colOff>
                    <xdr:row>21</xdr:row>
                    <xdr:rowOff>276225</xdr:rowOff>
                  </from>
                  <to>
                    <xdr:col>3</xdr:col>
                    <xdr:colOff>47625</xdr:colOff>
                    <xdr:row>21</xdr:row>
                    <xdr:rowOff>447675</xdr:rowOff>
                  </to>
                </anchor>
              </controlPr>
            </control>
          </mc:Choice>
        </mc:AlternateContent>
        <mc:AlternateContent xmlns:mc="http://schemas.openxmlformats.org/markup-compatibility/2006">
          <mc:Choice Requires="x14">
            <control shapeId="2111" r:id="rId34" name="Check Box 63">
              <controlPr locked="0" defaultSize="0" autoFill="0" autoLine="0" autoPict="0">
                <anchor moveWithCells="1">
                  <from>
                    <xdr:col>2</xdr:col>
                    <xdr:colOff>152400</xdr:colOff>
                    <xdr:row>65</xdr:row>
                    <xdr:rowOff>0</xdr:rowOff>
                  </from>
                  <to>
                    <xdr:col>3</xdr:col>
                    <xdr:colOff>47625</xdr:colOff>
                    <xdr:row>65</xdr:row>
                    <xdr:rowOff>171450</xdr:rowOff>
                  </to>
                </anchor>
              </controlPr>
            </control>
          </mc:Choice>
        </mc:AlternateContent>
        <mc:AlternateContent xmlns:mc="http://schemas.openxmlformats.org/markup-compatibility/2006">
          <mc:Choice Requires="x14">
            <control shapeId="2112" r:id="rId35" name="Check Box 64">
              <controlPr locked="0" defaultSize="0" autoFill="0" autoLine="0" autoPict="0">
                <anchor moveWithCells="1">
                  <from>
                    <xdr:col>2</xdr:col>
                    <xdr:colOff>152400</xdr:colOff>
                    <xdr:row>71</xdr:row>
                    <xdr:rowOff>171450</xdr:rowOff>
                  </from>
                  <to>
                    <xdr:col>3</xdr:col>
                    <xdr:colOff>47625</xdr:colOff>
                    <xdr:row>71</xdr:row>
                    <xdr:rowOff>352425</xdr:rowOff>
                  </to>
                </anchor>
              </controlPr>
            </control>
          </mc:Choice>
        </mc:AlternateContent>
        <mc:AlternateContent xmlns:mc="http://schemas.openxmlformats.org/markup-compatibility/2006">
          <mc:Choice Requires="x14">
            <control shapeId="2113" r:id="rId36" name="Check Box 65">
              <controlPr locked="0" defaultSize="0" autoFill="0" autoLine="0" autoPict="0">
                <anchor moveWithCells="1">
                  <from>
                    <xdr:col>2</xdr:col>
                    <xdr:colOff>152400</xdr:colOff>
                    <xdr:row>72</xdr:row>
                    <xdr:rowOff>9525</xdr:rowOff>
                  </from>
                  <to>
                    <xdr:col>3</xdr:col>
                    <xdr:colOff>47625</xdr:colOff>
                    <xdr:row>72</xdr:row>
                    <xdr:rowOff>171450</xdr:rowOff>
                  </to>
                </anchor>
              </controlPr>
            </control>
          </mc:Choice>
        </mc:AlternateContent>
        <mc:AlternateContent xmlns:mc="http://schemas.openxmlformats.org/markup-compatibility/2006">
          <mc:Choice Requires="x14">
            <control shapeId="2115" r:id="rId37" name="Check Box 67">
              <controlPr locked="0" defaultSize="0" autoFill="0" autoLine="0" autoPict="0">
                <anchor moveWithCells="1">
                  <from>
                    <xdr:col>2</xdr:col>
                    <xdr:colOff>152400</xdr:colOff>
                    <xdr:row>46</xdr:row>
                    <xdr:rowOff>781050</xdr:rowOff>
                  </from>
                  <to>
                    <xdr:col>3</xdr:col>
                    <xdr:colOff>47625</xdr:colOff>
                    <xdr:row>46</xdr:row>
                    <xdr:rowOff>952500</xdr:rowOff>
                  </to>
                </anchor>
              </controlPr>
            </control>
          </mc:Choice>
        </mc:AlternateContent>
        <mc:AlternateContent xmlns:mc="http://schemas.openxmlformats.org/markup-compatibility/2006">
          <mc:Choice Requires="x14">
            <control shapeId="2116" r:id="rId38" name="Check Box 68">
              <controlPr locked="0" defaultSize="0" autoFill="0" autoLine="0" autoPict="0">
                <anchor moveWithCells="1">
                  <from>
                    <xdr:col>2</xdr:col>
                    <xdr:colOff>152400</xdr:colOff>
                    <xdr:row>31</xdr:row>
                    <xdr:rowOff>628650</xdr:rowOff>
                  </from>
                  <to>
                    <xdr:col>3</xdr:col>
                    <xdr:colOff>47625</xdr:colOff>
                    <xdr:row>31</xdr:row>
                    <xdr:rowOff>800100</xdr:rowOff>
                  </to>
                </anchor>
              </controlPr>
            </control>
          </mc:Choice>
        </mc:AlternateContent>
        <mc:AlternateContent xmlns:mc="http://schemas.openxmlformats.org/markup-compatibility/2006">
          <mc:Choice Requires="x14">
            <control shapeId="2117" r:id="rId39" name="Check Box 69">
              <controlPr locked="0" defaultSize="0" autoFill="0" autoLine="0" autoPict="0">
                <anchor moveWithCells="1">
                  <from>
                    <xdr:col>2</xdr:col>
                    <xdr:colOff>152400</xdr:colOff>
                    <xdr:row>31</xdr:row>
                    <xdr:rowOff>895350</xdr:rowOff>
                  </from>
                  <to>
                    <xdr:col>3</xdr:col>
                    <xdr:colOff>47625</xdr:colOff>
                    <xdr:row>32</xdr:row>
                    <xdr:rowOff>0</xdr:rowOff>
                  </to>
                </anchor>
              </controlPr>
            </control>
          </mc:Choice>
        </mc:AlternateContent>
        <mc:AlternateContent xmlns:mc="http://schemas.openxmlformats.org/markup-compatibility/2006">
          <mc:Choice Requires="x14">
            <control shapeId="2119" r:id="rId40" name="Check Box 71">
              <controlPr locked="0" defaultSize="0" autoFill="0" autoLine="0" autoPict="0">
                <anchor moveWithCells="1">
                  <from>
                    <xdr:col>2</xdr:col>
                    <xdr:colOff>152400</xdr:colOff>
                    <xdr:row>40</xdr:row>
                    <xdr:rowOff>0</xdr:rowOff>
                  </from>
                  <to>
                    <xdr:col>3</xdr:col>
                    <xdr:colOff>47625</xdr:colOff>
                    <xdr:row>40</xdr:row>
                    <xdr:rowOff>180975</xdr:rowOff>
                  </to>
                </anchor>
              </controlPr>
            </control>
          </mc:Choice>
        </mc:AlternateContent>
        <mc:AlternateContent xmlns:mc="http://schemas.openxmlformats.org/markup-compatibility/2006">
          <mc:Choice Requires="x14">
            <control shapeId="2121" r:id="rId41" name="Check Box 73">
              <controlPr locked="0" defaultSize="0" autoFill="0" autoLine="0" autoPict="0">
                <anchor moveWithCells="1">
                  <from>
                    <xdr:col>2</xdr:col>
                    <xdr:colOff>152400</xdr:colOff>
                    <xdr:row>19</xdr:row>
                    <xdr:rowOff>657225</xdr:rowOff>
                  </from>
                  <to>
                    <xdr:col>3</xdr:col>
                    <xdr:colOff>47625</xdr:colOff>
                    <xdr:row>19</xdr:row>
                    <xdr:rowOff>828675</xdr:rowOff>
                  </to>
                </anchor>
              </controlPr>
            </control>
          </mc:Choice>
        </mc:AlternateContent>
        <mc:AlternateContent xmlns:mc="http://schemas.openxmlformats.org/markup-compatibility/2006">
          <mc:Choice Requires="x14">
            <control shapeId="2122" r:id="rId42" name="Check Box 74">
              <controlPr locked="0" defaultSize="0" autoFill="0" autoLine="0" autoPict="0">
                <anchor moveWithCells="1">
                  <from>
                    <xdr:col>2</xdr:col>
                    <xdr:colOff>133350</xdr:colOff>
                    <xdr:row>25</xdr:row>
                    <xdr:rowOff>323850</xdr:rowOff>
                  </from>
                  <to>
                    <xdr:col>3</xdr:col>
                    <xdr:colOff>28575</xdr:colOff>
                    <xdr:row>25</xdr:row>
                    <xdr:rowOff>495300</xdr:rowOff>
                  </to>
                </anchor>
              </controlPr>
            </control>
          </mc:Choice>
        </mc:AlternateContent>
        <mc:AlternateContent xmlns:mc="http://schemas.openxmlformats.org/markup-compatibility/2006">
          <mc:Choice Requires="x14">
            <control shapeId="2124" r:id="rId43" name="Check Box 76">
              <controlPr locked="0" defaultSize="0" autoFill="0" autoLine="0" autoPict="0">
                <anchor moveWithCells="1">
                  <from>
                    <xdr:col>2</xdr:col>
                    <xdr:colOff>133350</xdr:colOff>
                    <xdr:row>26</xdr:row>
                    <xdr:rowOff>0</xdr:rowOff>
                  </from>
                  <to>
                    <xdr:col>3</xdr:col>
                    <xdr:colOff>28575</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79"/>
  <sheetViews>
    <sheetView view="pageBreakPreview" zoomScale="115" zoomScaleNormal="100" zoomScaleSheetLayoutView="115" zoomScalePageLayoutView="60" workbookViewId="0">
      <selection activeCell="R52" sqref="R52"/>
    </sheetView>
  </sheetViews>
  <sheetFormatPr defaultColWidth="9.140625" defaultRowHeight="12.75" x14ac:dyDescent="0.2"/>
  <cols>
    <col min="1" max="1" width="6" style="3" customWidth="1"/>
    <col min="2" max="2" width="45.7109375" style="3" customWidth="1"/>
    <col min="3" max="3" width="7.5703125" style="77" customWidth="1"/>
    <col min="4" max="4" width="10.85546875" style="3" customWidth="1"/>
    <col min="5" max="5" width="7" style="3" customWidth="1"/>
    <col min="6" max="6" width="12.7109375" style="3" customWidth="1"/>
    <col min="7" max="7" width="8" style="135" hidden="1" customWidth="1"/>
    <col min="8" max="8" width="5.5703125" style="135" hidden="1" customWidth="1"/>
    <col min="9" max="9" width="9.7109375" style="135" hidden="1" customWidth="1"/>
    <col min="10" max="10" width="5.42578125" style="135" hidden="1" customWidth="1"/>
    <col min="11" max="11" width="13.85546875" style="135" hidden="1" customWidth="1"/>
    <col min="12" max="12" width="4.5703125" style="135" hidden="1" customWidth="1"/>
    <col min="13" max="16" width="9.140625" style="135" hidden="1" customWidth="1"/>
    <col min="17" max="1024" width="11.5703125" style="3"/>
    <col min="1025" max="16384" width="9.140625" style="3"/>
  </cols>
  <sheetData>
    <row r="1" spans="1:16" x14ac:dyDescent="0.2">
      <c r="A1" s="15" t="s">
        <v>44</v>
      </c>
      <c r="B1" s="16"/>
      <c r="C1" s="102"/>
      <c r="D1" s="16"/>
      <c r="E1" s="16"/>
      <c r="F1" s="16"/>
    </row>
    <row r="2" spans="1:16" s="7" customFormat="1" x14ac:dyDescent="0.2">
      <c r="A2" s="506" t="s">
        <v>83</v>
      </c>
      <c r="B2" s="506"/>
      <c r="C2" s="506"/>
      <c r="D2" s="506"/>
      <c r="E2" s="42" t="s">
        <v>84</v>
      </c>
      <c r="F2" s="265" t="s">
        <v>85</v>
      </c>
      <c r="G2" s="380"/>
      <c r="H2" s="380"/>
      <c r="I2" s="380"/>
      <c r="J2" s="380"/>
      <c r="K2" s="380"/>
      <c r="L2" s="380"/>
      <c r="M2" s="380"/>
      <c r="N2" s="380"/>
      <c r="O2" s="380"/>
      <c r="P2" s="380"/>
    </row>
    <row r="3" spans="1:16" x14ac:dyDescent="0.2">
      <c r="A3" s="17" t="s">
        <v>216</v>
      </c>
      <c r="B3" s="507" t="s">
        <v>332</v>
      </c>
      <c r="C3" s="507"/>
      <c r="D3" s="507"/>
      <c r="E3" s="138"/>
      <c r="F3" s="266"/>
      <c r="G3" s="135" t="b">
        <v>0</v>
      </c>
    </row>
    <row r="4" spans="1:16" x14ac:dyDescent="0.2">
      <c r="A4" s="17" t="s">
        <v>217</v>
      </c>
      <c r="B4" s="507" t="s">
        <v>48</v>
      </c>
      <c r="C4" s="507"/>
      <c r="D4" s="507"/>
      <c r="E4" s="138"/>
      <c r="F4" s="266"/>
      <c r="G4" s="135" t="b">
        <v>0</v>
      </c>
    </row>
    <row r="5" spans="1:16" x14ac:dyDescent="0.2">
      <c r="A5" s="17" t="s">
        <v>218</v>
      </c>
      <c r="B5" s="507" t="s">
        <v>50</v>
      </c>
      <c r="C5" s="507"/>
      <c r="D5" s="507"/>
      <c r="E5" s="138"/>
      <c r="F5" s="267"/>
      <c r="G5" s="135" t="b">
        <v>0</v>
      </c>
    </row>
    <row r="6" spans="1:16" ht="9" customHeight="1" x14ac:dyDescent="0.2">
      <c r="A6" s="18"/>
      <c r="B6" s="18"/>
      <c r="D6" s="18"/>
      <c r="E6" s="18"/>
      <c r="F6" s="18"/>
    </row>
    <row r="7" spans="1:16" s="90" customFormat="1" ht="25.5" customHeight="1" x14ac:dyDescent="0.2">
      <c r="A7" s="61">
        <v>2.1</v>
      </c>
      <c r="B7" s="88" t="s">
        <v>52</v>
      </c>
      <c r="C7" s="87" t="s">
        <v>174</v>
      </c>
      <c r="D7" s="89" t="s">
        <v>189</v>
      </c>
      <c r="E7" s="89" t="s">
        <v>87</v>
      </c>
      <c r="F7" s="265" t="s">
        <v>85</v>
      </c>
      <c r="G7" s="379"/>
      <c r="H7" s="379"/>
      <c r="I7" s="379"/>
      <c r="J7" s="379"/>
      <c r="K7" s="379"/>
      <c r="L7" s="379"/>
      <c r="M7" s="379"/>
      <c r="N7" s="379"/>
      <c r="O7" s="379"/>
      <c r="P7" s="379"/>
    </row>
    <row r="8" spans="1:16" s="7" customFormat="1" ht="12" customHeight="1" x14ac:dyDescent="0.2">
      <c r="A8" s="43"/>
      <c r="B8" s="43"/>
      <c r="C8" s="98"/>
      <c r="D8" s="43">
        <v>22</v>
      </c>
      <c r="E8" s="43">
        <f>MIN(22,G8)</f>
        <v>0</v>
      </c>
      <c r="F8" s="268" t="str">
        <f>IF(AND(G10=TRUE,G25=TRUE),"Choose only one option","")</f>
        <v/>
      </c>
      <c r="G8" s="380">
        <f>IF(G10,E11+E13+E15+E17+E21,IF(G25,E26+E39+E43,0))</f>
        <v>0</v>
      </c>
      <c r="H8" s="380"/>
      <c r="I8" s="380"/>
      <c r="J8" s="380"/>
      <c r="K8" s="380"/>
      <c r="L8" s="380"/>
      <c r="M8" s="380"/>
      <c r="N8" s="380"/>
      <c r="O8" s="380"/>
      <c r="P8" s="380"/>
    </row>
    <row r="9" spans="1:16" s="189" customFormat="1" x14ac:dyDescent="0.2">
      <c r="A9" s="504" t="s">
        <v>1</v>
      </c>
      <c r="B9" s="505"/>
      <c r="C9" s="187"/>
      <c r="D9" s="186">
        <v>6</v>
      </c>
      <c r="E9" s="245">
        <f>IF(G10,E23,IF(G25,E37+E41+E56,0))</f>
        <v>0</v>
      </c>
      <c r="F9" s="188"/>
      <c r="G9" s="385"/>
      <c r="H9" s="385"/>
      <c r="I9" s="385"/>
      <c r="J9" s="385"/>
      <c r="K9" s="385"/>
      <c r="L9" s="385"/>
      <c r="M9" s="385"/>
      <c r="N9" s="385"/>
      <c r="O9" s="385"/>
      <c r="P9" s="385"/>
    </row>
    <row r="10" spans="1:16" s="189" customFormat="1" ht="15" customHeight="1" x14ac:dyDescent="0.2">
      <c r="A10" s="362" t="s">
        <v>334</v>
      </c>
      <c r="B10" s="363"/>
      <c r="C10" s="363"/>
      <c r="D10" s="363"/>
      <c r="E10" s="364"/>
      <c r="F10" s="363"/>
      <c r="G10" s="130" t="b">
        <v>0</v>
      </c>
      <c r="H10" s="385"/>
      <c r="I10" s="385"/>
      <c r="J10" s="385"/>
      <c r="K10" s="385"/>
      <c r="L10" s="385"/>
      <c r="M10" s="385"/>
      <c r="N10" s="385"/>
      <c r="O10" s="385"/>
      <c r="P10" s="385"/>
    </row>
    <row r="11" spans="1:16" s="27" customFormat="1" ht="13.5" customHeight="1" x14ac:dyDescent="0.2">
      <c r="A11" s="45" t="s">
        <v>219</v>
      </c>
      <c r="B11" s="45" t="s">
        <v>54</v>
      </c>
      <c r="C11" s="99"/>
      <c r="D11" s="45">
        <v>5</v>
      </c>
      <c r="E11" s="45">
        <f>IF(G10,MIN(5,G11),)</f>
        <v>0</v>
      </c>
      <c r="F11" s="492"/>
      <c r="G11" s="372">
        <f>0.2*C12</f>
        <v>0</v>
      </c>
      <c r="H11" s="372"/>
      <c r="I11" s="372"/>
      <c r="J11" s="372"/>
      <c r="K11" s="372"/>
      <c r="L11" s="372"/>
      <c r="M11" s="372"/>
      <c r="N11" s="372"/>
      <c r="O11" s="372"/>
      <c r="P11" s="372"/>
    </row>
    <row r="12" spans="1:16" s="28" customFormat="1" ht="78" customHeight="1" x14ac:dyDescent="0.2">
      <c r="A12" s="461" t="s">
        <v>279</v>
      </c>
      <c r="B12" s="462"/>
      <c r="C12" s="134">
        <v>0</v>
      </c>
      <c r="D12" s="26"/>
      <c r="E12" s="26"/>
      <c r="F12" s="494"/>
      <c r="G12" s="130"/>
      <c r="H12" s="130"/>
      <c r="I12" s="130"/>
      <c r="J12" s="130"/>
      <c r="K12" s="130"/>
      <c r="L12" s="130"/>
      <c r="M12" s="130"/>
      <c r="N12" s="130"/>
      <c r="O12" s="130"/>
      <c r="P12" s="130"/>
    </row>
    <row r="13" spans="1:16" s="27" customFormat="1" ht="14.25" customHeight="1" x14ac:dyDescent="0.2">
      <c r="A13" s="45" t="s">
        <v>220</v>
      </c>
      <c r="B13" s="45" t="s">
        <v>56</v>
      </c>
      <c r="C13" s="99"/>
      <c r="D13" s="45">
        <v>3</v>
      </c>
      <c r="E13" s="45">
        <f>IF(G10,MIN(3,G13),)</f>
        <v>0</v>
      </c>
      <c r="F13" s="488"/>
      <c r="G13" s="372">
        <f>0.1*C14</f>
        <v>0</v>
      </c>
      <c r="H13" s="372"/>
      <c r="I13" s="372"/>
      <c r="J13" s="372"/>
      <c r="K13" s="372"/>
      <c r="L13" s="372"/>
      <c r="M13" s="372"/>
      <c r="N13" s="372"/>
      <c r="O13" s="372"/>
      <c r="P13" s="372"/>
    </row>
    <row r="14" spans="1:16" s="28" customFormat="1" ht="38.1" customHeight="1" x14ac:dyDescent="0.2">
      <c r="A14" s="461" t="s">
        <v>252</v>
      </c>
      <c r="B14" s="462"/>
      <c r="C14" s="134">
        <v>0</v>
      </c>
      <c r="D14" s="26"/>
      <c r="E14" s="26"/>
      <c r="F14" s="489"/>
      <c r="G14" s="130"/>
      <c r="H14" s="130"/>
      <c r="I14" s="130"/>
      <c r="J14" s="130"/>
      <c r="K14" s="130"/>
      <c r="L14" s="130"/>
      <c r="M14" s="130"/>
      <c r="N14" s="130"/>
      <c r="O14" s="130"/>
      <c r="P14" s="130"/>
    </row>
    <row r="15" spans="1:16" s="27" customFormat="1" ht="12.75" customHeight="1" x14ac:dyDescent="0.2">
      <c r="A15" s="45" t="s">
        <v>221</v>
      </c>
      <c r="B15" s="45" t="s">
        <v>58</v>
      </c>
      <c r="C15" s="99"/>
      <c r="D15" s="45">
        <v>2</v>
      </c>
      <c r="E15" s="45">
        <f>IF(G10,MIN(2,G15),)</f>
        <v>0</v>
      </c>
      <c r="F15" s="492"/>
      <c r="G15" s="372">
        <f>0.05*C16</f>
        <v>0</v>
      </c>
      <c r="H15" s="372"/>
      <c r="I15" s="372"/>
      <c r="J15" s="372"/>
      <c r="K15" s="372"/>
      <c r="L15" s="372"/>
      <c r="M15" s="372"/>
      <c r="N15" s="372"/>
      <c r="O15" s="372"/>
      <c r="P15" s="372"/>
    </row>
    <row r="16" spans="1:16" s="28" customFormat="1" ht="62.1" customHeight="1" x14ac:dyDescent="0.2">
      <c r="A16" s="461" t="s">
        <v>251</v>
      </c>
      <c r="B16" s="462"/>
      <c r="C16" s="134">
        <v>0</v>
      </c>
      <c r="D16" s="26"/>
      <c r="E16" s="26"/>
      <c r="F16" s="494"/>
      <c r="G16" s="130"/>
      <c r="H16" s="130"/>
      <c r="I16" s="130"/>
      <c r="J16" s="130"/>
      <c r="K16" s="130"/>
      <c r="L16" s="130"/>
      <c r="M16" s="130"/>
      <c r="N16" s="130"/>
      <c r="O16" s="130"/>
      <c r="P16" s="130"/>
    </row>
    <row r="17" spans="1:16" s="27" customFormat="1" ht="14.25" customHeight="1" x14ac:dyDescent="0.2">
      <c r="A17" s="54" t="s">
        <v>222</v>
      </c>
      <c r="B17" s="54" t="s">
        <v>60</v>
      </c>
      <c r="C17" s="100"/>
      <c r="D17" s="54">
        <v>1</v>
      </c>
      <c r="E17" s="54">
        <f>MIN(D17,G17)</f>
        <v>0</v>
      </c>
      <c r="F17" s="492"/>
      <c r="G17" s="372">
        <f>0.025*G19</f>
        <v>0</v>
      </c>
      <c r="H17" s="372"/>
      <c r="I17" s="372"/>
      <c r="J17" s="372"/>
      <c r="K17" s="372"/>
      <c r="L17" s="372"/>
      <c r="M17" s="372"/>
      <c r="N17" s="372"/>
      <c r="O17" s="372"/>
      <c r="P17" s="372"/>
    </row>
    <row r="18" spans="1:16" s="27" customFormat="1" ht="58.5" customHeight="1" x14ac:dyDescent="0.2">
      <c r="A18" s="461" t="s">
        <v>477</v>
      </c>
      <c r="B18" s="462"/>
      <c r="C18" s="137">
        <v>0</v>
      </c>
      <c r="D18" s="54"/>
      <c r="E18" s="54"/>
      <c r="F18" s="493"/>
      <c r="G18" s="372"/>
      <c r="H18" s="372"/>
      <c r="I18" s="372"/>
      <c r="J18" s="372"/>
      <c r="K18" s="372"/>
      <c r="L18" s="372"/>
      <c r="M18" s="372"/>
      <c r="N18" s="372"/>
      <c r="O18" s="372"/>
      <c r="P18" s="372"/>
    </row>
    <row r="19" spans="1:16" s="27" customFormat="1" ht="14.25" customHeight="1" x14ac:dyDescent="0.2">
      <c r="A19" s="502" t="s">
        <v>476</v>
      </c>
      <c r="B19" s="503"/>
      <c r="C19" s="328">
        <v>0</v>
      </c>
      <c r="D19" s="54"/>
      <c r="E19" s="54"/>
      <c r="F19" s="493"/>
      <c r="G19" s="372">
        <f>C18*C19/100</f>
        <v>0</v>
      </c>
      <c r="H19" s="372"/>
      <c r="I19" s="372"/>
      <c r="J19" s="372"/>
      <c r="K19" s="372"/>
      <c r="L19" s="372"/>
      <c r="M19" s="372"/>
      <c r="N19" s="372"/>
      <c r="O19" s="372"/>
      <c r="P19" s="372"/>
    </row>
    <row r="20" spans="1:16" s="28" customFormat="1" ht="13.5" customHeight="1" x14ac:dyDescent="0.2">
      <c r="A20" s="502" t="s">
        <v>478</v>
      </c>
      <c r="B20" s="503"/>
      <c r="C20" s="137"/>
      <c r="D20" s="26"/>
      <c r="E20" s="26"/>
      <c r="F20" s="494"/>
      <c r="G20" s="130"/>
      <c r="H20" s="130"/>
      <c r="I20" s="130"/>
      <c r="J20" s="130"/>
      <c r="K20" s="130"/>
      <c r="L20" s="130"/>
      <c r="M20" s="130"/>
      <c r="N20" s="130"/>
      <c r="O20" s="130"/>
      <c r="P20" s="130"/>
    </row>
    <row r="21" spans="1:16" ht="15" customHeight="1" x14ac:dyDescent="0.2">
      <c r="A21" s="54" t="s">
        <v>243</v>
      </c>
      <c r="B21" s="54" t="s">
        <v>63</v>
      </c>
      <c r="C21" s="100"/>
      <c r="D21" s="54">
        <v>11</v>
      </c>
      <c r="E21" s="231">
        <f>IF(G10,MIN(11,G21),)</f>
        <v>0</v>
      </c>
      <c r="F21" s="492"/>
      <c r="G21" s="372">
        <f>C22/3</f>
        <v>0</v>
      </c>
    </row>
    <row r="22" spans="1:16" ht="48" customHeight="1" x14ac:dyDescent="0.2">
      <c r="A22" s="461" t="s">
        <v>333</v>
      </c>
      <c r="B22" s="462"/>
      <c r="C22" s="134">
        <v>0</v>
      </c>
      <c r="D22" s="26"/>
      <c r="E22" s="26"/>
      <c r="F22" s="494"/>
    </row>
    <row r="23" spans="1:16" ht="27.95" customHeight="1" x14ac:dyDescent="0.2">
      <c r="A23" s="472" t="s">
        <v>244</v>
      </c>
      <c r="B23" s="472"/>
      <c r="C23" s="219"/>
      <c r="D23" s="222">
        <v>2</v>
      </c>
      <c r="E23" s="244">
        <f>IF(G10,MIN(2,G23),)</f>
        <v>0</v>
      </c>
      <c r="F23" s="500"/>
      <c r="G23" s="372">
        <f>IF(G21-11&gt;0,G21-11,0)</f>
        <v>0</v>
      </c>
    </row>
    <row r="24" spans="1:16" ht="27.95" customHeight="1" x14ac:dyDescent="0.2">
      <c r="A24" s="473" t="s">
        <v>135</v>
      </c>
      <c r="B24" s="473"/>
      <c r="C24" s="223"/>
      <c r="D24" s="224"/>
      <c r="E24" s="224"/>
      <c r="F24" s="501"/>
    </row>
    <row r="25" spans="1:16" ht="15" customHeight="1" x14ac:dyDescent="0.2">
      <c r="A25" s="362" t="s">
        <v>335</v>
      </c>
      <c r="B25" s="363"/>
      <c r="C25" s="363"/>
      <c r="D25" s="363"/>
      <c r="E25" s="364"/>
      <c r="F25" s="363"/>
      <c r="G25" s="135" t="b">
        <v>0</v>
      </c>
    </row>
    <row r="26" spans="1:16" ht="15" customHeight="1" x14ac:dyDescent="0.2">
      <c r="A26" s="192" t="s">
        <v>245</v>
      </c>
      <c r="B26" s="192" t="s">
        <v>391</v>
      </c>
      <c r="C26" s="232"/>
      <c r="D26" s="192">
        <v>10</v>
      </c>
      <c r="E26" s="190">
        <f>MIN(10,SUM(G26:I26))</f>
        <v>0</v>
      </c>
      <c r="F26" s="481"/>
      <c r="G26" s="135">
        <f>C28*G27/100</f>
        <v>0</v>
      </c>
      <c r="H26" s="135">
        <f>C32*H27/100</f>
        <v>0</v>
      </c>
      <c r="I26" s="135">
        <f>C35*I27/100</f>
        <v>0</v>
      </c>
    </row>
    <row r="27" spans="1:16" ht="15" customHeight="1" x14ac:dyDescent="0.2">
      <c r="A27" s="444" t="s">
        <v>336</v>
      </c>
      <c r="B27" s="445"/>
      <c r="C27" s="233"/>
      <c r="D27" s="192"/>
      <c r="E27" s="190"/>
      <c r="F27" s="482"/>
      <c r="G27" s="135">
        <f>IF(G30,6,0)+C30</f>
        <v>0</v>
      </c>
      <c r="H27" s="135">
        <f>0.15*C33</f>
        <v>0</v>
      </c>
      <c r="I27" s="135">
        <f>0.4*C36</f>
        <v>0</v>
      </c>
    </row>
    <row r="28" spans="1:16" ht="15" customHeight="1" x14ac:dyDescent="0.2">
      <c r="A28" s="495" t="s">
        <v>337</v>
      </c>
      <c r="B28" s="496"/>
      <c r="C28" s="365">
        <v>0</v>
      </c>
      <c r="D28" s="192"/>
      <c r="E28" s="190"/>
      <c r="F28" s="482"/>
      <c r="I28" s="130"/>
    </row>
    <row r="29" spans="1:16" ht="15" customHeight="1" x14ac:dyDescent="0.2">
      <c r="A29" s="495"/>
      <c r="B29" s="496"/>
      <c r="C29" s="365"/>
      <c r="D29" s="192"/>
      <c r="E29" s="190"/>
      <c r="F29" s="482"/>
      <c r="I29" s="130"/>
    </row>
    <row r="30" spans="1:16" x14ac:dyDescent="0.2">
      <c r="A30" s="495"/>
      <c r="B30" s="496"/>
      <c r="C30" s="234">
        <v>0</v>
      </c>
      <c r="D30" s="160"/>
      <c r="E30" s="160"/>
      <c r="F30" s="482"/>
      <c r="G30" s="135" t="b">
        <v>0</v>
      </c>
    </row>
    <row r="31" spans="1:16" ht="14.25" customHeight="1" x14ac:dyDescent="0.2">
      <c r="A31" s="446" t="s">
        <v>338</v>
      </c>
      <c r="B31" s="447"/>
      <c r="C31" s="3"/>
      <c r="D31" s="160"/>
      <c r="E31" s="160"/>
      <c r="F31" s="482"/>
    </row>
    <row r="32" spans="1:16" ht="13.5" customHeight="1" x14ac:dyDescent="0.2">
      <c r="A32" s="446" t="s">
        <v>340</v>
      </c>
      <c r="B32" s="447"/>
      <c r="C32" s="235">
        <v>0</v>
      </c>
      <c r="D32" s="160"/>
      <c r="E32" s="160"/>
      <c r="F32" s="482"/>
    </row>
    <row r="33" spans="1:8" ht="12.75" customHeight="1" x14ac:dyDescent="0.2">
      <c r="A33" s="446"/>
      <c r="B33" s="447"/>
      <c r="C33" s="236">
        <v>0</v>
      </c>
      <c r="D33" s="160"/>
      <c r="E33" s="160"/>
      <c r="F33" s="482"/>
    </row>
    <row r="34" spans="1:8" ht="16.5" customHeight="1" x14ac:dyDescent="0.2">
      <c r="A34" s="446" t="s">
        <v>341</v>
      </c>
      <c r="B34" s="447"/>
      <c r="C34" s="237"/>
      <c r="D34" s="160"/>
      <c r="E34" s="160"/>
      <c r="F34" s="482"/>
    </row>
    <row r="35" spans="1:8" ht="15.75" customHeight="1" x14ac:dyDescent="0.2">
      <c r="A35" s="497" t="s">
        <v>339</v>
      </c>
      <c r="B35" s="496"/>
      <c r="C35" s="234">
        <v>0</v>
      </c>
      <c r="D35" s="160"/>
      <c r="E35" s="160"/>
      <c r="F35" s="482"/>
      <c r="G35" s="135" t="b">
        <v>0</v>
      </c>
    </row>
    <row r="36" spans="1:8" x14ac:dyDescent="0.2">
      <c r="A36" s="498"/>
      <c r="B36" s="499"/>
      <c r="C36" s="238">
        <v>0</v>
      </c>
      <c r="D36" s="160"/>
      <c r="E36" s="160"/>
      <c r="F36" s="483"/>
    </row>
    <row r="37" spans="1:8" ht="30" customHeight="1" x14ac:dyDescent="0.2">
      <c r="A37" s="472" t="s">
        <v>246</v>
      </c>
      <c r="B37" s="472"/>
      <c r="C37" s="219"/>
      <c r="D37" s="222">
        <v>1</v>
      </c>
      <c r="E37" s="222">
        <f>MIN(1,G37)</f>
        <v>0</v>
      </c>
      <c r="F37" s="500"/>
      <c r="G37" s="135">
        <f>IF(ISNUMBER(SEARCH("TRUE",G38)), "1", "0")+IF(ISNUMBER(SEARCH("TRUE",H38)), "0.5", "0")</f>
        <v>0</v>
      </c>
    </row>
    <row r="38" spans="1:8" ht="28.5" customHeight="1" x14ac:dyDescent="0.2">
      <c r="A38" s="473" t="s">
        <v>280</v>
      </c>
      <c r="B38" s="473"/>
      <c r="C38" s="225"/>
      <c r="D38" s="224"/>
      <c r="E38" s="224"/>
      <c r="F38" s="501"/>
      <c r="G38" s="135" t="b">
        <v>0</v>
      </c>
      <c r="H38" s="135" t="b">
        <v>0</v>
      </c>
    </row>
    <row r="39" spans="1:8" ht="15" customHeight="1" x14ac:dyDescent="0.2">
      <c r="A39" s="192" t="s">
        <v>247</v>
      </c>
      <c r="B39" s="192" t="s">
        <v>392</v>
      </c>
      <c r="C39" s="191"/>
      <c r="D39" s="192">
        <v>6</v>
      </c>
      <c r="E39" s="197">
        <f>MIN(D39, G39)</f>
        <v>0</v>
      </c>
      <c r="F39" s="481"/>
      <c r="G39" s="135">
        <f>0.17*C40</f>
        <v>0</v>
      </c>
    </row>
    <row r="40" spans="1:8" ht="21" customHeight="1" x14ac:dyDescent="0.2">
      <c r="A40" s="502" t="s">
        <v>281</v>
      </c>
      <c r="B40" s="503"/>
      <c r="C40" s="137">
        <v>0</v>
      </c>
      <c r="D40" s="160"/>
      <c r="E40" s="160"/>
      <c r="F40" s="483"/>
    </row>
    <row r="41" spans="1:8" ht="30" customHeight="1" x14ac:dyDescent="0.2">
      <c r="A41" s="472" t="s">
        <v>248</v>
      </c>
      <c r="B41" s="472"/>
      <c r="C41" s="219"/>
      <c r="D41" s="222">
        <v>1</v>
      </c>
      <c r="E41" s="222">
        <f>MIN(1,G41)</f>
        <v>0</v>
      </c>
      <c r="F41" s="500"/>
      <c r="G41" s="135">
        <f>IF(ISNUMBER(SEARCH("TRUE",G42)), "0.5", "0")+IF(ISNUMBER(SEARCH("TRUE",H42)), "1", "0")</f>
        <v>0</v>
      </c>
    </row>
    <row r="42" spans="1:8" ht="27.75" customHeight="1" x14ac:dyDescent="0.2">
      <c r="A42" s="473" t="s">
        <v>282</v>
      </c>
      <c r="B42" s="473"/>
      <c r="C42" s="225"/>
      <c r="D42" s="224"/>
      <c r="E42" s="224"/>
      <c r="F42" s="501"/>
      <c r="G42" s="135" t="b">
        <v>0</v>
      </c>
      <c r="H42" s="135" t="b">
        <v>0</v>
      </c>
    </row>
    <row r="43" spans="1:8" ht="15" customHeight="1" x14ac:dyDescent="0.2">
      <c r="A43" s="192" t="s">
        <v>249</v>
      </c>
      <c r="B43" s="192" t="s">
        <v>393</v>
      </c>
      <c r="C43" s="191"/>
      <c r="D43" s="192">
        <v>6</v>
      </c>
      <c r="E43" s="192">
        <f>MIN(6, G43)</f>
        <v>0</v>
      </c>
      <c r="F43" s="227"/>
      <c r="G43" s="135">
        <f>E44+E48+E52+E54</f>
        <v>0</v>
      </c>
    </row>
    <row r="44" spans="1:8" ht="15" customHeight="1" x14ac:dyDescent="0.2">
      <c r="A44" s="484" t="s">
        <v>283</v>
      </c>
      <c r="B44" s="513"/>
      <c r="C44" s="191"/>
      <c r="D44" s="197">
        <v>2</v>
      </c>
      <c r="E44" s="197">
        <f>MIN(2, G44)</f>
        <v>0</v>
      </c>
      <c r="F44" s="228"/>
      <c r="G44" s="135">
        <f>0.05*G46</f>
        <v>0</v>
      </c>
    </row>
    <row r="45" spans="1:8" ht="15" customHeight="1" x14ac:dyDescent="0.2">
      <c r="A45" s="502" t="s">
        <v>345</v>
      </c>
      <c r="B45" s="503"/>
      <c r="C45" s="328">
        <v>0</v>
      </c>
      <c r="D45" s="197"/>
      <c r="E45" s="197"/>
      <c r="F45" s="228"/>
    </row>
    <row r="46" spans="1:8" ht="15" customHeight="1" x14ac:dyDescent="0.2">
      <c r="A46" s="502" t="s">
        <v>346</v>
      </c>
      <c r="B46" s="503"/>
      <c r="C46" s="328">
        <v>0</v>
      </c>
      <c r="D46" s="197"/>
      <c r="E46" s="197"/>
      <c r="F46" s="228"/>
      <c r="G46" s="135">
        <f>C45*C46/100</f>
        <v>0</v>
      </c>
    </row>
    <row r="47" spans="1:8" ht="25.5" customHeight="1" x14ac:dyDescent="0.2">
      <c r="A47" s="486" t="s">
        <v>288</v>
      </c>
      <c r="B47" s="487"/>
      <c r="C47" s="137"/>
      <c r="D47" s="198"/>
      <c r="E47" s="198"/>
      <c r="F47" s="228"/>
    </row>
    <row r="48" spans="1:8" ht="15" customHeight="1" x14ac:dyDescent="0.2">
      <c r="A48" s="484" t="s">
        <v>284</v>
      </c>
      <c r="B48" s="485"/>
      <c r="C48" s="137"/>
      <c r="D48" s="147">
        <v>1.5</v>
      </c>
      <c r="E48" s="199">
        <f>MIN(1.5, G48+H48)</f>
        <v>0</v>
      </c>
      <c r="F48" s="228"/>
      <c r="G48" s="386">
        <f>0.015*C49</f>
        <v>0</v>
      </c>
      <c r="H48" s="386">
        <f>IF(ISNUMBER(SEARCH("TRUE",G49)), "0.25", "0")+IF(ISNUMBER(SEARCH("TRUE",H49)), "1.5", "0")</f>
        <v>0</v>
      </c>
    </row>
    <row r="49" spans="1:16" ht="10.5" customHeight="1" x14ac:dyDescent="0.2">
      <c r="A49" s="444" t="s">
        <v>305</v>
      </c>
      <c r="B49" s="445"/>
      <c r="C49" s="508">
        <v>0</v>
      </c>
      <c r="D49" s="137"/>
      <c r="E49" s="196"/>
      <c r="F49" s="228"/>
      <c r="G49" s="135" t="b">
        <v>0</v>
      </c>
      <c r="H49" s="135" t="b">
        <v>0</v>
      </c>
    </row>
    <row r="50" spans="1:16" ht="11.25" customHeight="1" x14ac:dyDescent="0.2">
      <c r="A50" s="446"/>
      <c r="B50" s="447"/>
      <c r="C50" s="509"/>
      <c r="D50" s="200"/>
      <c r="E50" s="200"/>
      <c r="F50" s="228"/>
    </row>
    <row r="51" spans="1:16" ht="12" customHeight="1" x14ac:dyDescent="0.2">
      <c r="A51" s="446"/>
      <c r="B51" s="447"/>
      <c r="C51" s="510"/>
      <c r="D51" s="147"/>
      <c r="E51" s="147"/>
      <c r="F51" s="228"/>
    </row>
    <row r="52" spans="1:16" ht="14.25" customHeight="1" x14ac:dyDescent="0.2">
      <c r="A52" s="484" t="s">
        <v>285</v>
      </c>
      <c r="B52" s="485"/>
      <c r="C52" s="137"/>
      <c r="D52" s="147">
        <v>0.5</v>
      </c>
      <c r="E52" s="199">
        <f>IF(G53,0.5,0)</f>
        <v>0</v>
      </c>
      <c r="F52" s="228"/>
    </row>
    <row r="53" spans="1:16" ht="15.75" customHeight="1" x14ac:dyDescent="0.2">
      <c r="A53" s="463" t="s">
        <v>286</v>
      </c>
      <c r="B53" s="464"/>
      <c r="C53" s="137"/>
      <c r="D53" s="147"/>
      <c r="E53" s="147"/>
      <c r="F53" s="228"/>
      <c r="G53" s="135" t="b">
        <v>0</v>
      </c>
    </row>
    <row r="54" spans="1:16" ht="18.75" customHeight="1" x14ac:dyDescent="0.2">
      <c r="A54" s="484" t="s">
        <v>287</v>
      </c>
      <c r="B54" s="485"/>
      <c r="C54" s="137"/>
      <c r="D54" s="147">
        <v>2</v>
      </c>
      <c r="E54" s="147">
        <f>MIN(2, G54)</f>
        <v>0</v>
      </c>
      <c r="F54" s="228"/>
      <c r="G54" s="135">
        <f>0.5*C55</f>
        <v>0</v>
      </c>
    </row>
    <row r="55" spans="1:16" x14ac:dyDescent="0.2">
      <c r="A55" s="463" t="s">
        <v>310</v>
      </c>
      <c r="B55" s="464"/>
      <c r="C55" s="329">
        <v>0</v>
      </c>
      <c r="D55" s="160"/>
      <c r="E55" s="160"/>
      <c r="F55" s="229"/>
    </row>
    <row r="56" spans="1:16" ht="30" customHeight="1" x14ac:dyDescent="0.2">
      <c r="A56" s="472" t="s">
        <v>250</v>
      </c>
      <c r="B56" s="472"/>
      <c r="C56" s="219"/>
      <c r="D56" s="222">
        <v>2</v>
      </c>
      <c r="E56" s="226">
        <f>MIN(D56,IF(C55&gt;4,(C55-4)/3,0))</f>
        <v>0</v>
      </c>
      <c r="F56" s="511"/>
    </row>
    <row r="57" spans="1:16" ht="27" customHeight="1" x14ac:dyDescent="0.2">
      <c r="A57" s="473" t="s">
        <v>347</v>
      </c>
      <c r="B57" s="473"/>
      <c r="C57" s="225"/>
      <c r="D57" s="224"/>
      <c r="E57" s="224"/>
      <c r="F57" s="512"/>
      <c r="G57" s="135">
        <f>IF(C55&lt;4,0,C55-4)</f>
        <v>0</v>
      </c>
    </row>
    <row r="58" spans="1:16" s="91" customFormat="1" ht="23.25" customHeight="1" x14ac:dyDescent="0.2">
      <c r="A58" s="61">
        <v>2.2000000000000002</v>
      </c>
      <c r="B58" s="88" t="s">
        <v>64</v>
      </c>
      <c r="C58" s="87" t="s">
        <v>174</v>
      </c>
      <c r="D58" s="89" t="s">
        <v>86</v>
      </c>
      <c r="E58" s="89" t="s">
        <v>87</v>
      </c>
      <c r="F58" s="265" t="s">
        <v>85</v>
      </c>
      <c r="G58" s="375"/>
      <c r="H58" s="375"/>
      <c r="I58" s="375"/>
      <c r="J58" s="375"/>
      <c r="K58" s="375"/>
      <c r="L58" s="375"/>
      <c r="M58" s="375"/>
      <c r="N58" s="375"/>
      <c r="O58" s="375"/>
      <c r="P58" s="375"/>
    </row>
    <row r="59" spans="1:16" s="27" customFormat="1" ht="12" x14ac:dyDescent="0.2">
      <c r="A59" s="43"/>
      <c r="B59" s="43"/>
      <c r="C59" s="98"/>
      <c r="D59" s="43">
        <v>8</v>
      </c>
      <c r="E59" s="43">
        <f>E61+E64+E66</f>
        <v>0</v>
      </c>
      <c r="F59" s="269"/>
      <c r="G59" s="372"/>
      <c r="H59" s="372"/>
      <c r="I59" s="372"/>
      <c r="J59" s="372"/>
      <c r="K59" s="372"/>
      <c r="L59" s="372"/>
      <c r="M59" s="372"/>
      <c r="N59" s="372"/>
      <c r="O59" s="372"/>
      <c r="P59" s="372"/>
    </row>
    <row r="60" spans="1:16" s="27" customFormat="1" ht="12" x14ac:dyDescent="0.2">
      <c r="A60" s="418" t="s">
        <v>1</v>
      </c>
      <c r="B60" s="418"/>
      <c r="C60" s="101"/>
      <c r="D60" s="44">
        <v>5</v>
      </c>
      <c r="E60" s="65">
        <f>E69</f>
        <v>0</v>
      </c>
      <c r="F60" s="270"/>
      <c r="G60" s="372"/>
      <c r="H60" s="372"/>
      <c r="I60" s="372"/>
      <c r="J60" s="372"/>
      <c r="K60" s="372"/>
      <c r="L60" s="372"/>
      <c r="M60" s="372"/>
      <c r="N60" s="372"/>
      <c r="O60" s="372"/>
      <c r="P60" s="372"/>
    </row>
    <row r="61" spans="1:16" s="27" customFormat="1" ht="14.25" customHeight="1" x14ac:dyDescent="0.2">
      <c r="A61" s="45" t="s">
        <v>223</v>
      </c>
      <c r="B61" s="45" t="s">
        <v>65</v>
      </c>
      <c r="C61" s="99"/>
      <c r="D61" s="45">
        <v>0.5</v>
      </c>
      <c r="E61" s="59">
        <f>IF(G63,0.5,0)</f>
        <v>0</v>
      </c>
      <c r="F61" s="492"/>
      <c r="G61" s="372"/>
      <c r="H61" s="372"/>
      <c r="I61" s="372"/>
      <c r="J61" s="372"/>
      <c r="K61" s="372"/>
      <c r="L61" s="372"/>
      <c r="M61" s="372"/>
      <c r="N61" s="372"/>
      <c r="O61" s="372"/>
      <c r="P61" s="372"/>
    </row>
    <row r="62" spans="1:16" s="49" customFormat="1" ht="24" customHeight="1" x14ac:dyDescent="0.15">
      <c r="A62" s="430" t="s">
        <v>131</v>
      </c>
      <c r="B62" s="431"/>
      <c r="C62" s="469"/>
      <c r="D62" s="514"/>
      <c r="E62" s="514"/>
      <c r="F62" s="493"/>
      <c r="G62" s="376"/>
      <c r="H62" s="376"/>
      <c r="I62" s="376"/>
      <c r="J62" s="376"/>
      <c r="K62" s="376"/>
      <c r="L62" s="376"/>
      <c r="M62" s="376"/>
      <c r="N62" s="376"/>
      <c r="O62" s="376"/>
      <c r="P62" s="376"/>
    </row>
    <row r="63" spans="1:16" s="28" customFormat="1" ht="66.75" customHeight="1" x14ac:dyDescent="0.15">
      <c r="A63" s="461" t="s">
        <v>348</v>
      </c>
      <c r="B63" s="462"/>
      <c r="C63" s="470"/>
      <c r="D63" s="515"/>
      <c r="E63" s="515"/>
      <c r="F63" s="494"/>
      <c r="G63" s="130" t="b">
        <v>0</v>
      </c>
      <c r="H63" s="130"/>
      <c r="I63" s="130"/>
      <c r="J63" s="130"/>
      <c r="K63" s="130"/>
      <c r="L63" s="130"/>
      <c r="M63" s="130"/>
      <c r="N63" s="130"/>
      <c r="O63" s="130"/>
      <c r="P63" s="130"/>
    </row>
    <row r="64" spans="1:16" s="27" customFormat="1" ht="12.95" customHeight="1" x14ac:dyDescent="0.2">
      <c r="A64" s="45" t="s">
        <v>323</v>
      </c>
      <c r="B64" s="45" t="s">
        <v>67</v>
      </c>
      <c r="C64" s="99"/>
      <c r="D64" s="45">
        <v>1.5</v>
      </c>
      <c r="E64" s="45">
        <f>IF(G65,0.5,0)+IF(H65,0.5,0)+IF(I65,0.5,0)</f>
        <v>0</v>
      </c>
      <c r="F64" s="488"/>
      <c r="G64" s="372"/>
      <c r="H64" s="372"/>
      <c r="I64" s="372"/>
      <c r="J64" s="372"/>
      <c r="K64" s="372"/>
      <c r="L64" s="372"/>
      <c r="M64" s="372"/>
      <c r="N64" s="372"/>
      <c r="O64" s="372"/>
      <c r="P64" s="372"/>
    </row>
    <row r="65" spans="1:16" s="28" customFormat="1" ht="53.25" customHeight="1" x14ac:dyDescent="0.2">
      <c r="A65" s="461" t="s">
        <v>136</v>
      </c>
      <c r="B65" s="462"/>
      <c r="C65" s="134"/>
      <c r="D65" s="26"/>
      <c r="E65" s="26"/>
      <c r="F65" s="489"/>
      <c r="G65" s="130" t="b">
        <v>0</v>
      </c>
      <c r="H65" s="130" t="b">
        <v>0</v>
      </c>
      <c r="I65" s="130" t="b">
        <v>0</v>
      </c>
      <c r="J65" s="130"/>
      <c r="K65" s="130"/>
      <c r="L65" s="130"/>
      <c r="M65" s="130"/>
      <c r="N65" s="130"/>
      <c r="O65" s="130"/>
      <c r="P65" s="130"/>
    </row>
    <row r="66" spans="1:16" s="27" customFormat="1" ht="13.5" customHeight="1" x14ac:dyDescent="0.2">
      <c r="A66" s="45" t="s">
        <v>322</v>
      </c>
      <c r="B66" s="45" t="s">
        <v>68</v>
      </c>
      <c r="C66" s="99"/>
      <c r="D66" s="45">
        <v>6</v>
      </c>
      <c r="E66" s="230">
        <f>MIN(6,G66)</f>
        <v>0</v>
      </c>
      <c r="F66" s="492"/>
      <c r="G66" s="372">
        <f>IF(C67&lt;=0,0,IF(AND(C67&gt;=0,C67&lt;50),C68/2.5,IF(AND(C67&gt;=50,C67&lt;220),C68/1.25,IF(C67&gt;=220,C68/0.5))))</f>
        <v>0</v>
      </c>
      <c r="H66" s="372"/>
      <c r="I66" s="372"/>
      <c r="J66" s="372"/>
      <c r="K66" s="372"/>
      <c r="L66" s="372"/>
      <c r="M66" s="372"/>
      <c r="N66" s="372"/>
      <c r="O66" s="372"/>
      <c r="P66" s="372"/>
    </row>
    <row r="67" spans="1:16" s="28" customFormat="1" ht="84" customHeight="1" x14ac:dyDescent="0.2">
      <c r="A67" s="465" t="s">
        <v>358</v>
      </c>
      <c r="B67" s="466"/>
      <c r="C67" s="134" t="s">
        <v>359</v>
      </c>
      <c r="D67" s="490"/>
      <c r="E67" s="490"/>
      <c r="F67" s="493"/>
      <c r="G67" s="130"/>
      <c r="H67" s="130"/>
      <c r="I67" s="130"/>
      <c r="J67" s="130"/>
      <c r="K67" s="130"/>
      <c r="L67" s="130"/>
      <c r="M67" s="130"/>
      <c r="N67" s="130"/>
      <c r="O67" s="130"/>
      <c r="P67" s="130"/>
    </row>
    <row r="68" spans="1:16" s="28" customFormat="1" ht="15" customHeight="1" x14ac:dyDescent="0.2">
      <c r="A68" s="456"/>
      <c r="B68" s="457"/>
      <c r="C68" s="134">
        <v>0</v>
      </c>
      <c r="D68" s="491"/>
      <c r="E68" s="491"/>
      <c r="F68" s="494"/>
      <c r="G68" s="130"/>
      <c r="H68" s="130"/>
      <c r="I68" s="130"/>
      <c r="J68" s="130"/>
      <c r="K68" s="130"/>
      <c r="L68" s="130"/>
      <c r="M68" s="130"/>
      <c r="N68" s="130"/>
      <c r="O68" s="130"/>
      <c r="P68" s="130"/>
    </row>
    <row r="69" spans="1:16" s="27" customFormat="1" ht="23.25" customHeight="1" x14ac:dyDescent="0.2">
      <c r="A69" s="516" t="s">
        <v>253</v>
      </c>
      <c r="B69" s="517"/>
      <c r="C69" s="241"/>
      <c r="D69" s="222">
        <v>5</v>
      </c>
      <c r="E69" s="242">
        <f>MIN(D69,G69)</f>
        <v>0</v>
      </c>
      <c r="F69" s="520"/>
      <c r="G69" s="372">
        <f>MAX(0,G66-6)</f>
        <v>0</v>
      </c>
      <c r="H69" s="372"/>
      <c r="I69" s="372"/>
      <c r="J69" s="372"/>
      <c r="K69" s="372"/>
      <c r="L69" s="372"/>
      <c r="M69" s="372"/>
      <c r="N69" s="372"/>
      <c r="O69" s="372"/>
      <c r="P69" s="372"/>
    </row>
    <row r="70" spans="1:16" s="28" customFormat="1" ht="18" customHeight="1" x14ac:dyDescent="0.2">
      <c r="A70" s="518" t="s">
        <v>162</v>
      </c>
      <c r="B70" s="519"/>
      <c r="C70" s="241"/>
      <c r="D70" s="224"/>
      <c r="E70" s="224"/>
      <c r="F70" s="521"/>
      <c r="G70" s="130"/>
      <c r="H70" s="130"/>
      <c r="I70" s="130"/>
      <c r="J70" s="130"/>
      <c r="K70" s="130"/>
      <c r="L70" s="130"/>
      <c r="M70" s="130"/>
      <c r="N70" s="130"/>
      <c r="O70" s="130"/>
      <c r="P70" s="130"/>
    </row>
    <row r="71" spans="1:16" x14ac:dyDescent="0.2">
      <c r="A71" s="20"/>
      <c r="B71" s="20"/>
      <c r="C71" s="82"/>
      <c r="D71" s="20"/>
      <c r="E71" s="20"/>
      <c r="F71" s="20"/>
    </row>
    <row r="72" spans="1:16" x14ac:dyDescent="0.2">
      <c r="A72" s="15" t="s">
        <v>94</v>
      </c>
      <c r="B72" s="16"/>
      <c r="C72" s="102"/>
      <c r="D72" s="16"/>
      <c r="E72" s="357">
        <f>SUM(E8,E59)</f>
        <v>0</v>
      </c>
      <c r="F72" s="16"/>
    </row>
    <row r="73" spans="1:16" x14ac:dyDescent="0.2">
      <c r="A73" s="22" t="s">
        <v>1</v>
      </c>
      <c r="B73" s="23"/>
      <c r="C73" s="103"/>
      <c r="D73" s="23"/>
      <c r="E73" s="353">
        <f>SUM(E60,E9)</f>
        <v>0</v>
      </c>
      <c r="F73" s="23"/>
    </row>
    <row r="74" spans="1:16" ht="12.75" customHeight="1" x14ac:dyDescent="0.2">
      <c r="A74" s="20"/>
      <c r="B74" s="20"/>
      <c r="C74" s="82"/>
      <c r="D74" s="20"/>
      <c r="E74" s="20"/>
      <c r="F74" s="20"/>
    </row>
    <row r="75" spans="1:16" ht="12.75" customHeight="1" x14ac:dyDescent="0.2">
      <c r="A75" s="429" t="s">
        <v>93</v>
      </c>
      <c r="B75" s="429"/>
      <c r="C75" s="82"/>
      <c r="D75" s="20"/>
      <c r="E75" s="70"/>
      <c r="F75" s="20"/>
    </row>
    <row r="76" spans="1:16" ht="12.75" customHeight="1" x14ac:dyDescent="0.2">
      <c r="A76" s="471"/>
      <c r="B76" s="471"/>
      <c r="C76" s="471"/>
      <c r="D76" s="471"/>
      <c r="E76" s="471"/>
      <c r="F76" s="471"/>
    </row>
    <row r="77" spans="1:16" x14ac:dyDescent="0.2">
      <c r="A77" s="471"/>
      <c r="B77" s="471"/>
      <c r="C77" s="471"/>
      <c r="D77" s="471"/>
      <c r="E77" s="471"/>
      <c r="F77" s="471"/>
    </row>
    <row r="78" spans="1:16" x14ac:dyDescent="0.2">
      <c r="A78" s="471"/>
      <c r="B78" s="471"/>
      <c r="C78" s="471"/>
      <c r="D78" s="471"/>
      <c r="E78" s="471"/>
      <c r="F78" s="471"/>
    </row>
    <row r="79" spans="1:16" x14ac:dyDescent="0.2">
      <c r="A79" s="471"/>
      <c r="B79" s="471"/>
      <c r="C79" s="471"/>
      <c r="D79" s="471"/>
      <c r="E79" s="471"/>
      <c r="F79" s="471"/>
    </row>
  </sheetData>
  <sheetProtection algorithmName="SHA-512" hashValue="O7+/T0kAW6sKI3JMkt4wcfn4+vkGSameSlhbYBda6YjBYSXiWZ3BIZFP20breuYSNZ4opcO1Lc31JcMf40wgww==" saltValue="s5a+HxiBwBt6t0MJscDKtQ==" spinCount="100000" sheet="1" objects="1" scenarios="1"/>
  <mergeCells count="67">
    <mergeCell ref="A75:B75"/>
    <mergeCell ref="A76:F79"/>
    <mergeCell ref="A60:B60"/>
    <mergeCell ref="D62:D63"/>
    <mergeCell ref="E62:E63"/>
    <mergeCell ref="A63:B63"/>
    <mergeCell ref="A62:B62"/>
    <mergeCell ref="F61:F63"/>
    <mergeCell ref="C62:C63"/>
    <mergeCell ref="A69:B69"/>
    <mergeCell ref="A65:B65"/>
    <mergeCell ref="A70:B70"/>
    <mergeCell ref="F69:F70"/>
    <mergeCell ref="C49:C51"/>
    <mergeCell ref="A52:B52"/>
    <mergeCell ref="F37:F38"/>
    <mergeCell ref="F56:F57"/>
    <mergeCell ref="A56:B56"/>
    <mergeCell ref="A57:B57"/>
    <mergeCell ref="A44:B44"/>
    <mergeCell ref="A45:B45"/>
    <mergeCell ref="A46:B46"/>
    <mergeCell ref="A48:B48"/>
    <mergeCell ref="A49:B51"/>
    <mergeCell ref="A40:B40"/>
    <mergeCell ref="F39:F40"/>
    <mergeCell ref="F41:F42"/>
    <mergeCell ref="A37:B37"/>
    <mergeCell ref="A38:B38"/>
    <mergeCell ref="A41:B41"/>
    <mergeCell ref="A42:B42"/>
    <mergeCell ref="A2:D2"/>
    <mergeCell ref="B5:D5"/>
    <mergeCell ref="B3:D3"/>
    <mergeCell ref="B4:D4"/>
    <mergeCell ref="A20:B20"/>
    <mergeCell ref="A22:B22"/>
    <mergeCell ref="A23:B23"/>
    <mergeCell ref="F11:F12"/>
    <mergeCell ref="A12:B12"/>
    <mergeCell ref="A9:B9"/>
    <mergeCell ref="A14:B14"/>
    <mergeCell ref="A16:B16"/>
    <mergeCell ref="F13:F14"/>
    <mergeCell ref="F15:F16"/>
    <mergeCell ref="F17:F20"/>
    <mergeCell ref="F21:F22"/>
    <mergeCell ref="F23:F24"/>
    <mergeCell ref="A24:B24"/>
    <mergeCell ref="A18:B18"/>
    <mergeCell ref="A19:B19"/>
    <mergeCell ref="F26:F36"/>
    <mergeCell ref="A54:B54"/>
    <mergeCell ref="A55:B55"/>
    <mergeCell ref="A47:B47"/>
    <mergeCell ref="A67:B68"/>
    <mergeCell ref="F64:F65"/>
    <mergeCell ref="D67:D68"/>
    <mergeCell ref="E67:E68"/>
    <mergeCell ref="F66:F68"/>
    <mergeCell ref="A27:B27"/>
    <mergeCell ref="A28:B30"/>
    <mergeCell ref="A31:B31"/>
    <mergeCell ref="A32:B33"/>
    <mergeCell ref="A35:B36"/>
    <mergeCell ref="A34:B34"/>
    <mergeCell ref="A53:B53"/>
  </mergeCells>
  <printOptions horizontalCentered="1"/>
  <pageMargins left="0.39370078740157483" right="0.39370078740157483" top="0.31496062992125984" bottom="0.31496062992125984" header="0.31496062992125984" footer="0.23622047244094491"/>
  <pageSetup paperSize="9" scale="107" firstPageNumber="4" pageOrder="overThenDown" orientation="portrait" useFirstPageNumber="1" r:id="rId1"/>
  <headerFooter>
    <oddFooter>&amp;RPage &amp;P</oddFooter>
  </headerFooter>
  <rowBreaks count="2" manualBreakCount="2">
    <brk id="24" max="5" man="1"/>
    <brk id="5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2</xdr:col>
                    <xdr:colOff>161925</xdr:colOff>
                    <xdr:row>61</xdr:row>
                    <xdr:rowOff>295275</xdr:rowOff>
                  </from>
                  <to>
                    <xdr:col>2</xdr:col>
                    <xdr:colOff>457200</xdr:colOff>
                    <xdr:row>62</xdr:row>
                    <xdr:rowOff>219075</xdr:rowOff>
                  </to>
                </anchor>
              </controlPr>
            </control>
          </mc:Choice>
        </mc:AlternateContent>
        <mc:AlternateContent xmlns:mc="http://schemas.openxmlformats.org/markup-compatibility/2006">
          <mc:Choice Requires="x14">
            <control shapeId="5123" r:id="rId5" name="Check Box 3">
              <controlPr locked="0" defaultSize="0" autoFill="0" autoLine="0" autoPict="0">
                <anchor moveWithCells="1">
                  <from>
                    <xdr:col>4</xdr:col>
                    <xdr:colOff>133350</xdr:colOff>
                    <xdr:row>2</xdr:row>
                    <xdr:rowOff>142875</xdr:rowOff>
                  </from>
                  <to>
                    <xdr:col>4</xdr:col>
                    <xdr:colOff>438150</xdr:colOff>
                    <xdr:row>4</xdr:row>
                    <xdr:rowOff>38100</xdr:rowOff>
                  </to>
                </anchor>
              </controlPr>
            </control>
          </mc:Choice>
        </mc:AlternateContent>
        <mc:AlternateContent xmlns:mc="http://schemas.openxmlformats.org/markup-compatibility/2006">
          <mc:Choice Requires="x14">
            <control shapeId="5124" r:id="rId6" name="Check Box 4">
              <controlPr locked="0" defaultSize="0" autoFill="0" autoLine="0" autoPict="0">
                <anchor moveWithCells="1">
                  <from>
                    <xdr:col>4</xdr:col>
                    <xdr:colOff>133350</xdr:colOff>
                    <xdr:row>3</xdr:row>
                    <xdr:rowOff>133350</xdr:rowOff>
                  </from>
                  <to>
                    <xdr:col>4</xdr:col>
                    <xdr:colOff>438150</xdr:colOff>
                    <xdr:row>5</xdr:row>
                    <xdr:rowOff>19050</xdr:rowOff>
                  </to>
                </anchor>
              </controlPr>
            </control>
          </mc:Choice>
        </mc:AlternateContent>
        <mc:AlternateContent xmlns:mc="http://schemas.openxmlformats.org/markup-compatibility/2006">
          <mc:Choice Requires="x14">
            <control shapeId="5125" r:id="rId7" name="Check Box 5">
              <controlPr locked="0" defaultSize="0" autoFill="0" autoLine="0" autoPict="0">
                <anchor moveWithCells="1">
                  <from>
                    <xdr:col>4</xdr:col>
                    <xdr:colOff>133350</xdr:colOff>
                    <xdr:row>1</xdr:row>
                    <xdr:rowOff>142875</xdr:rowOff>
                  </from>
                  <to>
                    <xdr:col>4</xdr:col>
                    <xdr:colOff>438150</xdr:colOff>
                    <xdr:row>3</xdr:row>
                    <xdr:rowOff>38100</xdr:rowOff>
                  </to>
                </anchor>
              </controlPr>
            </control>
          </mc:Choice>
        </mc:AlternateContent>
        <mc:AlternateContent xmlns:mc="http://schemas.openxmlformats.org/markup-compatibility/2006">
          <mc:Choice Requires="x14">
            <control shapeId="5126" r:id="rId8" name="Check Box 6">
              <controlPr locked="0" defaultSize="0" autoFill="0" autoLine="0" autoPict="0">
                <anchor moveWithCells="1">
                  <from>
                    <xdr:col>2</xdr:col>
                    <xdr:colOff>161925</xdr:colOff>
                    <xdr:row>64</xdr:row>
                    <xdr:rowOff>209550</xdr:rowOff>
                  </from>
                  <to>
                    <xdr:col>2</xdr:col>
                    <xdr:colOff>457200</xdr:colOff>
                    <xdr:row>64</xdr:row>
                    <xdr:rowOff>361950</xdr:rowOff>
                  </to>
                </anchor>
              </controlPr>
            </control>
          </mc:Choice>
        </mc:AlternateContent>
        <mc:AlternateContent xmlns:mc="http://schemas.openxmlformats.org/markup-compatibility/2006">
          <mc:Choice Requires="x14">
            <control shapeId="5127" r:id="rId9" name="Check Box 7">
              <controlPr locked="0" defaultSize="0" autoFill="0" autoLine="0" autoPict="0">
                <anchor moveWithCells="1">
                  <from>
                    <xdr:col>2</xdr:col>
                    <xdr:colOff>161925</xdr:colOff>
                    <xdr:row>64</xdr:row>
                    <xdr:rowOff>304800</xdr:rowOff>
                  </from>
                  <to>
                    <xdr:col>2</xdr:col>
                    <xdr:colOff>457200</xdr:colOff>
                    <xdr:row>64</xdr:row>
                    <xdr:rowOff>533400</xdr:rowOff>
                  </to>
                </anchor>
              </controlPr>
            </control>
          </mc:Choice>
        </mc:AlternateContent>
        <mc:AlternateContent xmlns:mc="http://schemas.openxmlformats.org/markup-compatibility/2006">
          <mc:Choice Requires="x14">
            <control shapeId="5128" r:id="rId10" name="Check Box 8">
              <controlPr locked="0" defaultSize="0" autoFill="0" autoLine="0" autoPict="0">
                <anchor moveWithCells="1">
                  <from>
                    <xdr:col>2</xdr:col>
                    <xdr:colOff>161925</xdr:colOff>
                    <xdr:row>64</xdr:row>
                    <xdr:rowOff>447675</xdr:rowOff>
                  </from>
                  <to>
                    <xdr:col>2</xdr:col>
                    <xdr:colOff>457200</xdr:colOff>
                    <xdr:row>65</xdr:row>
                    <xdr:rowOff>0</xdr:rowOff>
                  </to>
                </anchor>
              </controlPr>
            </control>
          </mc:Choice>
        </mc:AlternateContent>
        <mc:AlternateContent xmlns:mc="http://schemas.openxmlformats.org/markup-compatibility/2006">
          <mc:Choice Requires="x14">
            <control shapeId="5131" r:id="rId11" name="Check Box 11">
              <controlPr locked="0" defaultSize="0" autoFill="0" autoLine="0" autoPict="0">
                <anchor moveWithCells="1">
                  <from>
                    <xdr:col>2</xdr:col>
                    <xdr:colOff>142875</xdr:colOff>
                    <xdr:row>28</xdr:row>
                    <xdr:rowOff>9525</xdr:rowOff>
                  </from>
                  <to>
                    <xdr:col>3</xdr:col>
                    <xdr:colOff>38100</xdr:colOff>
                    <xdr:row>28</xdr:row>
                    <xdr:rowOff>180975</xdr:rowOff>
                  </to>
                </anchor>
              </controlPr>
            </control>
          </mc:Choice>
        </mc:AlternateContent>
        <mc:AlternateContent xmlns:mc="http://schemas.openxmlformats.org/markup-compatibility/2006">
          <mc:Choice Requires="x14">
            <control shapeId="5134" r:id="rId12" name="Check Box 14">
              <controlPr locked="0" defaultSize="0" autoFill="0" autoLine="0" autoPict="0">
                <anchor moveWithCells="1">
                  <from>
                    <xdr:col>2</xdr:col>
                    <xdr:colOff>85725</xdr:colOff>
                    <xdr:row>37</xdr:row>
                    <xdr:rowOff>9525</xdr:rowOff>
                  </from>
                  <to>
                    <xdr:col>2</xdr:col>
                    <xdr:colOff>485775</xdr:colOff>
                    <xdr:row>37</xdr:row>
                    <xdr:rowOff>152400</xdr:rowOff>
                  </to>
                </anchor>
              </controlPr>
            </control>
          </mc:Choice>
        </mc:AlternateContent>
        <mc:AlternateContent xmlns:mc="http://schemas.openxmlformats.org/markup-compatibility/2006">
          <mc:Choice Requires="x14">
            <control shapeId="5135" r:id="rId13" name="Check Box 15">
              <controlPr locked="0" defaultSize="0" autoFill="0" autoLine="0" autoPict="0">
                <anchor moveWithCells="1">
                  <from>
                    <xdr:col>2</xdr:col>
                    <xdr:colOff>85725</xdr:colOff>
                    <xdr:row>37</xdr:row>
                    <xdr:rowOff>152400</xdr:rowOff>
                  </from>
                  <to>
                    <xdr:col>2</xdr:col>
                    <xdr:colOff>485775</xdr:colOff>
                    <xdr:row>37</xdr:row>
                    <xdr:rowOff>323850</xdr:rowOff>
                  </to>
                </anchor>
              </controlPr>
            </control>
          </mc:Choice>
        </mc:AlternateContent>
        <mc:AlternateContent xmlns:mc="http://schemas.openxmlformats.org/markup-compatibility/2006">
          <mc:Choice Requires="x14">
            <control shapeId="5136" r:id="rId14" name="Check Box 16">
              <controlPr locked="0" defaultSize="0" autoFill="0" autoLine="0" autoPict="0">
                <anchor moveWithCells="1">
                  <from>
                    <xdr:col>2</xdr:col>
                    <xdr:colOff>85725</xdr:colOff>
                    <xdr:row>41</xdr:row>
                    <xdr:rowOff>9525</xdr:rowOff>
                  </from>
                  <to>
                    <xdr:col>2</xdr:col>
                    <xdr:colOff>485775</xdr:colOff>
                    <xdr:row>41</xdr:row>
                    <xdr:rowOff>180975</xdr:rowOff>
                  </to>
                </anchor>
              </controlPr>
            </control>
          </mc:Choice>
        </mc:AlternateContent>
        <mc:AlternateContent xmlns:mc="http://schemas.openxmlformats.org/markup-compatibility/2006">
          <mc:Choice Requires="x14">
            <control shapeId="5137" r:id="rId15" name="Check Box 17">
              <controlPr locked="0" defaultSize="0" autoFill="0" autoLine="0" autoPict="0">
                <anchor moveWithCells="1">
                  <from>
                    <xdr:col>2</xdr:col>
                    <xdr:colOff>85725</xdr:colOff>
                    <xdr:row>41</xdr:row>
                    <xdr:rowOff>161925</xdr:rowOff>
                  </from>
                  <to>
                    <xdr:col>2</xdr:col>
                    <xdr:colOff>485775</xdr:colOff>
                    <xdr:row>41</xdr:row>
                    <xdr:rowOff>333375</xdr:rowOff>
                  </to>
                </anchor>
              </controlPr>
            </control>
          </mc:Choice>
        </mc:AlternateContent>
        <mc:AlternateContent xmlns:mc="http://schemas.openxmlformats.org/markup-compatibility/2006">
          <mc:Choice Requires="x14">
            <control shapeId="5139" r:id="rId16" name="Check Box 19">
              <controlPr locked="0" defaultSize="0" autoFill="0" autoLine="0" autoPict="0">
                <anchor moveWithCells="1">
                  <from>
                    <xdr:col>2</xdr:col>
                    <xdr:colOff>85725</xdr:colOff>
                    <xdr:row>48</xdr:row>
                    <xdr:rowOff>123825</xdr:rowOff>
                  </from>
                  <to>
                    <xdr:col>2</xdr:col>
                    <xdr:colOff>485775</xdr:colOff>
                    <xdr:row>50</xdr:row>
                    <xdr:rowOff>28575</xdr:rowOff>
                  </to>
                </anchor>
              </controlPr>
            </control>
          </mc:Choice>
        </mc:AlternateContent>
        <mc:AlternateContent xmlns:mc="http://schemas.openxmlformats.org/markup-compatibility/2006">
          <mc:Choice Requires="x14">
            <control shapeId="5142" r:id="rId17" name="Check Box 22">
              <controlPr locked="0" defaultSize="0" autoFill="0" autoLine="0" autoPict="0">
                <anchor moveWithCells="1">
                  <from>
                    <xdr:col>2</xdr:col>
                    <xdr:colOff>85725</xdr:colOff>
                    <xdr:row>52</xdr:row>
                    <xdr:rowOff>0</xdr:rowOff>
                  </from>
                  <to>
                    <xdr:col>2</xdr:col>
                    <xdr:colOff>485775</xdr:colOff>
                    <xdr:row>52</xdr:row>
                    <xdr:rowOff>171450</xdr:rowOff>
                  </to>
                </anchor>
              </controlPr>
            </control>
          </mc:Choice>
        </mc:AlternateContent>
        <mc:AlternateContent xmlns:mc="http://schemas.openxmlformats.org/markup-compatibility/2006">
          <mc:Choice Requires="x14">
            <control shapeId="5143" r:id="rId18" name="Check Box 23">
              <controlPr locked="0" defaultSize="0" autoFill="0" autoLine="0" autoPict="0">
                <anchor moveWithCells="1">
                  <from>
                    <xdr:col>2</xdr:col>
                    <xdr:colOff>85725</xdr:colOff>
                    <xdr:row>49</xdr:row>
                    <xdr:rowOff>123825</xdr:rowOff>
                  </from>
                  <to>
                    <xdr:col>2</xdr:col>
                    <xdr:colOff>485775</xdr:colOff>
                    <xdr:row>51</xdr:row>
                    <xdr:rowOff>9525</xdr:rowOff>
                  </to>
                </anchor>
              </controlPr>
            </control>
          </mc:Choice>
        </mc:AlternateContent>
        <mc:AlternateContent xmlns:mc="http://schemas.openxmlformats.org/markup-compatibility/2006">
          <mc:Choice Requires="x14">
            <control shapeId="5144" r:id="rId19" name="Check Box 24">
              <controlPr locked="0" defaultSize="0" autoFill="0" autoLine="0" autoPict="0">
                <anchor moveWithCells="1">
                  <from>
                    <xdr:col>4</xdr:col>
                    <xdr:colOff>304800</xdr:colOff>
                    <xdr:row>8</xdr:row>
                    <xdr:rowOff>152400</xdr:rowOff>
                  </from>
                  <to>
                    <xdr:col>5</xdr:col>
                    <xdr:colOff>152400</xdr:colOff>
                    <xdr:row>10</xdr:row>
                    <xdr:rowOff>19050</xdr:rowOff>
                  </to>
                </anchor>
              </controlPr>
            </control>
          </mc:Choice>
        </mc:AlternateContent>
        <mc:AlternateContent xmlns:mc="http://schemas.openxmlformats.org/markup-compatibility/2006">
          <mc:Choice Requires="x14">
            <control shapeId="5145" r:id="rId20" name="Check Box 25">
              <controlPr locked="0" defaultSize="0" autoFill="0" autoLine="0" autoPict="0">
                <anchor moveWithCells="1">
                  <from>
                    <xdr:col>4</xdr:col>
                    <xdr:colOff>276225</xdr:colOff>
                    <xdr:row>23</xdr:row>
                    <xdr:rowOff>371475</xdr:rowOff>
                  </from>
                  <to>
                    <xdr:col>5</xdr:col>
                    <xdr:colOff>133350</xdr:colOff>
                    <xdr:row>25</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113"/>
  <sheetViews>
    <sheetView view="pageBreakPreview" zoomScale="115" zoomScaleNormal="100" zoomScaleSheetLayoutView="115" workbookViewId="0">
      <selection activeCell="R63" sqref="R63"/>
    </sheetView>
  </sheetViews>
  <sheetFormatPr defaultColWidth="9.140625" defaultRowHeight="12.75" x14ac:dyDescent="0.2"/>
  <cols>
    <col min="1" max="1" width="6" style="3" customWidth="1"/>
    <col min="2" max="2" width="45.7109375" style="3" customWidth="1"/>
    <col min="3" max="3" width="7.5703125" style="77" customWidth="1"/>
    <col min="4" max="4" width="10.7109375" style="3" customWidth="1"/>
    <col min="5" max="5" width="7" style="3" customWidth="1"/>
    <col min="6" max="6" width="12.7109375" style="3" customWidth="1"/>
    <col min="7" max="7" width="9.28515625" style="135" hidden="1" customWidth="1"/>
    <col min="8" max="8" width="9.5703125" style="135" hidden="1" customWidth="1"/>
    <col min="9" max="9" width="10.7109375" style="135" hidden="1" customWidth="1"/>
    <col min="10" max="10" width="9.28515625" style="135" hidden="1" customWidth="1"/>
    <col min="11" max="11" width="10.42578125" style="135" hidden="1" customWidth="1"/>
    <col min="12" max="12" width="6.5703125" style="135" hidden="1" customWidth="1"/>
    <col min="13" max="13" width="7.5703125" style="135" hidden="1" customWidth="1"/>
    <col min="14" max="14" width="10.7109375" style="135" hidden="1" customWidth="1"/>
    <col min="15" max="15" width="7.7109375" style="135" hidden="1" customWidth="1"/>
    <col min="16" max="16" width="9.140625" style="135" hidden="1" customWidth="1"/>
    <col min="17" max="17" width="9.140625" style="3" customWidth="1"/>
    <col min="18" max="1024" width="11.5703125" style="3"/>
    <col min="1025" max="16384" width="9.140625" style="3"/>
  </cols>
  <sheetData>
    <row r="1" spans="1:16" x14ac:dyDescent="0.2">
      <c r="A1" s="24" t="s">
        <v>70</v>
      </c>
      <c r="B1" s="25"/>
      <c r="C1" s="106"/>
      <c r="D1" s="25"/>
      <c r="E1" s="25"/>
      <c r="F1" s="25"/>
    </row>
    <row r="2" spans="1:16" s="7" customFormat="1" x14ac:dyDescent="0.2">
      <c r="A2" s="533" t="s">
        <v>83</v>
      </c>
      <c r="B2" s="533"/>
      <c r="C2" s="533"/>
      <c r="D2" s="533"/>
      <c r="E2" s="47" t="s">
        <v>84</v>
      </c>
      <c r="F2" s="274" t="s">
        <v>85</v>
      </c>
      <c r="G2" s="380"/>
      <c r="H2" s="380"/>
      <c r="I2" s="380"/>
      <c r="J2" s="380"/>
      <c r="K2" s="380"/>
      <c r="L2" s="380"/>
      <c r="M2" s="380"/>
      <c r="N2" s="380"/>
      <c r="O2" s="380"/>
      <c r="P2" s="380"/>
    </row>
    <row r="3" spans="1:16" x14ac:dyDescent="0.2">
      <c r="A3" s="17" t="s">
        <v>224</v>
      </c>
      <c r="B3" s="507" t="s">
        <v>71</v>
      </c>
      <c r="C3" s="507"/>
      <c r="D3" s="507"/>
      <c r="E3" s="138"/>
      <c r="F3" s="266"/>
      <c r="G3" s="135" t="b">
        <v>0</v>
      </c>
      <c r="H3" s="381"/>
    </row>
    <row r="4" spans="1:16" x14ac:dyDescent="0.2">
      <c r="A4" s="18"/>
      <c r="B4" s="18"/>
      <c r="D4" s="18"/>
      <c r="E4" s="18"/>
      <c r="F4" s="18"/>
    </row>
    <row r="5" spans="1:16" s="90" customFormat="1" ht="24.75" customHeight="1" x14ac:dyDescent="0.2">
      <c r="A5" s="62">
        <v>3.1</v>
      </c>
      <c r="B5" s="104" t="s">
        <v>72</v>
      </c>
      <c r="C5" s="111" t="s">
        <v>174</v>
      </c>
      <c r="D5" s="105" t="s">
        <v>189</v>
      </c>
      <c r="E5" s="105" t="s">
        <v>87</v>
      </c>
      <c r="F5" s="274" t="s">
        <v>85</v>
      </c>
      <c r="G5" s="379"/>
      <c r="H5" s="379"/>
      <c r="I5" s="379"/>
      <c r="J5" s="379"/>
      <c r="K5" s="379"/>
      <c r="L5" s="379"/>
      <c r="M5" s="379"/>
      <c r="N5" s="379"/>
      <c r="O5" s="379"/>
      <c r="P5" s="379"/>
    </row>
    <row r="6" spans="1:16" s="7" customFormat="1" x14ac:dyDescent="0.2">
      <c r="A6" s="48"/>
      <c r="B6" s="48"/>
      <c r="C6" s="107"/>
      <c r="D6" s="48">
        <v>8</v>
      </c>
      <c r="E6" s="48">
        <f>E8+E16+E21</f>
        <v>0</v>
      </c>
      <c r="F6" s="275"/>
      <c r="G6" s="380"/>
      <c r="H6" s="380"/>
      <c r="I6" s="380"/>
      <c r="J6" s="380"/>
      <c r="K6" s="380"/>
      <c r="L6" s="380"/>
      <c r="M6" s="380"/>
      <c r="N6" s="380"/>
      <c r="O6" s="380"/>
      <c r="P6" s="380"/>
    </row>
    <row r="7" spans="1:16" s="7" customFormat="1" x14ac:dyDescent="0.2">
      <c r="A7" s="418" t="s">
        <v>1</v>
      </c>
      <c r="B7" s="418"/>
      <c r="C7" s="108"/>
      <c r="D7" s="44">
        <v>1</v>
      </c>
      <c r="E7" s="65">
        <f>E14</f>
        <v>0</v>
      </c>
      <c r="F7" s="256"/>
      <c r="G7" s="380"/>
      <c r="H7" s="380"/>
      <c r="I7" s="380"/>
      <c r="J7" s="380"/>
      <c r="K7" s="380"/>
      <c r="L7" s="380"/>
      <c r="M7" s="380"/>
      <c r="N7" s="380"/>
      <c r="O7" s="380"/>
      <c r="P7" s="380"/>
    </row>
    <row r="8" spans="1:16" s="7" customFormat="1" x14ac:dyDescent="0.2">
      <c r="A8" s="45" t="s">
        <v>225</v>
      </c>
      <c r="B8" s="45" t="s">
        <v>73</v>
      </c>
      <c r="C8" s="109"/>
      <c r="D8" s="45">
        <v>3</v>
      </c>
      <c r="E8" s="45">
        <f>E9+E12</f>
        <v>0</v>
      </c>
      <c r="F8" s="276"/>
      <c r="G8" s="380"/>
      <c r="H8" s="380"/>
      <c r="I8" s="380"/>
      <c r="J8" s="380"/>
      <c r="K8" s="380"/>
      <c r="L8" s="380"/>
      <c r="M8" s="380"/>
      <c r="N8" s="380"/>
      <c r="O8" s="380"/>
      <c r="P8" s="380"/>
    </row>
    <row r="9" spans="1:16" s="49" customFormat="1" ht="12.75" customHeight="1" x14ac:dyDescent="0.15">
      <c r="A9" s="523" t="s">
        <v>141</v>
      </c>
      <c r="B9" s="524"/>
      <c r="C9" s="110"/>
      <c r="D9" s="26">
        <v>1</v>
      </c>
      <c r="E9" s="26">
        <f>MIN(1,G9)</f>
        <v>0</v>
      </c>
      <c r="F9" s="534"/>
      <c r="G9" s="376">
        <f>ROUNDDOWN(C10/25,0)*0.5+ROUNDDOWN(C11/20,0)*0.5</f>
        <v>0</v>
      </c>
      <c r="H9" s="376"/>
      <c r="I9" s="376"/>
      <c r="J9" s="376"/>
      <c r="K9" s="376"/>
      <c r="L9" s="376"/>
      <c r="M9" s="376"/>
      <c r="N9" s="376"/>
      <c r="O9" s="376"/>
      <c r="P9" s="376"/>
    </row>
    <row r="10" spans="1:16" s="28" customFormat="1" ht="27.95" customHeight="1" x14ac:dyDescent="0.2">
      <c r="A10" s="465" t="s">
        <v>255</v>
      </c>
      <c r="B10" s="466"/>
      <c r="C10" s="134">
        <v>0</v>
      </c>
      <c r="D10" s="490"/>
      <c r="E10" s="490"/>
      <c r="F10" s="536"/>
      <c r="G10" s="130"/>
      <c r="H10" s="130"/>
      <c r="I10" s="130"/>
      <c r="J10" s="130"/>
      <c r="K10" s="130"/>
      <c r="L10" s="130"/>
      <c r="M10" s="130"/>
      <c r="N10" s="130"/>
      <c r="O10" s="130"/>
      <c r="P10" s="130"/>
    </row>
    <row r="11" spans="1:16" s="28" customFormat="1" ht="38.1" customHeight="1" x14ac:dyDescent="0.2">
      <c r="A11" s="456"/>
      <c r="B11" s="457"/>
      <c r="C11" s="134">
        <v>0</v>
      </c>
      <c r="D11" s="491"/>
      <c r="E11" s="491"/>
      <c r="F11" s="535"/>
      <c r="G11" s="130"/>
      <c r="H11" s="130"/>
      <c r="I11" s="130"/>
      <c r="J11" s="130"/>
      <c r="K11" s="130"/>
      <c r="L11" s="130"/>
      <c r="M11" s="130"/>
      <c r="N11" s="130"/>
      <c r="O11" s="130"/>
      <c r="P11" s="130"/>
    </row>
    <row r="12" spans="1:16" s="49" customFormat="1" ht="12.75" customHeight="1" x14ac:dyDescent="0.15">
      <c r="A12" s="523" t="s">
        <v>95</v>
      </c>
      <c r="B12" s="524"/>
      <c r="C12" s="110"/>
      <c r="D12" s="26">
        <v>2</v>
      </c>
      <c r="E12" s="26">
        <f>IF(G13,1,0)+IF(H13,1,0)</f>
        <v>0</v>
      </c>
      <c r="F12" s="534"/>
      <c r="G12" s="376"/>
      <c r="H12" s="376"/>
      <c r="I12" s="376"/>
      <c r="J12" s="376"/>
      <c r="K12" s="376"/>
      <c r="L12" s="376"/>
      <c r="M12" s="376"/>
      <c r="N12" s="376"/>
      <c r="O12" s="376"/>
      <c r="P12" s="376"/>
    </row>
    <row r="13" spans="1:16" s="28" customFormat="1" ht="47.25" customHeight="1" x14ac:dyDescent="0.15">
      <c r="A13" s="423" t="s">
        <v>343</v>
      </c>
      <c r="B13" s="424"/>
      <c r="C13" s="139"/>
      <c r="D13" s="26"/>
      <c r="E13" s="26"/>
      <c r="F13" s="535"/>
      <c r="G13" s="130" t="b">
        <v>0</v>
      </c>
      <c r="H13" s="130" t="b">
        <v>0</v>
      </c>
      <c r="I13" s="130"/>
      <c r="J13" s="130"/>
      <c r="K13" s="130"/>
      <c r="L13" s="130"/>
      <c r="M13" s="130"/>
      <c r="N13" s="130"/>
      <c r="O13" s="130"/>
      <c r="P13" s="130"/>
    </row>
    <row r="14" spans="1:16" s="27" customFormat="1" ht="24" customHeight="1" x14ac:dyDescent="0.2">
      <c r="A14" s="419" t="s">
        <v>254</v>
      </c>
      <c r="B14" s="419"/>
      <c r="C14" s="75"/>
      <c r="D14" s="63">
        <v>1</v>
      </c>
      <c r="E14" s="64">
        <f>MIN(1,G14)</f>
        <v>0</v>
      </c>
      <c r="F14" s="537"/>
      <c r="G14" s="382">
        <f>IF(G15,0.5,0)+IF(H15,1,0)</f>
        <v>0</v>
      </c>
      <c r="H14" s="372"/>
      <c r="I14" s="372"/>
      <c r="J14" s="372"/>
      <c r="K14" s="372"/>
      <c r="L14" s="372"/>
      <c r="M14" s="372"/>
      <c r="N14" s="372"/>
      <c r="O14" s="372"/>
      <c r="P14" s="372"/>
    </row>
    <row r="15" spans="1:16" s="28" customFormat="1" ht="48" customHeight="1" x14ac:dyDescent="0.15">
      <c r="A15" s="427" t="s">
        <v>289</v>
      </c>
      <c r="B15" s="428"/>
      <c r="C15" s="140"/>
      <c r="D15" s="21"/>
      <c r="E15" s="21"/>
      <c r="F15" s="538"/>
      <c r="G15" s="130" t="b">
        <v>0</v>
      </c>
      <c r="H15" s="130" t="b">
        <v>0</v>
      </c>
      <c r="I15" s="130"/>
      <c r="J15" s="130"/>
      <c r="K15" s="130"/>
      <c r="L15" s="130"/>
      <c r="M15" s="130"/>
      <c r="N15" s="130"/>
      <c r="O15" s="130"/>
      <c r="P15" s="130"/>
    </row>
    <row r="16" spans="1:16" s="27" customFormat="1" ht="14.25" customHeight="1" x14ac:dyDescent="0.2">
      <c r="A16" s="45" t="s">
        <v>226</v>
      </c>
      <c r="B16" s="45" t="s">
        <v>74</v>
      </c>
      <c r="C16" s="109"/>
      <c r="D16" s="45">
        <v>2</v>
      </c>
      <c r="E16" s="45">
        <f>E17+E19</f>
        <v>0</v>
      </c>
      <c r="F16" s="272"/>
      <c r="G16" s="372"/>
      <c r="H16" s="372"/>
      <c r="I16" s="372"/>
      <c r="J16" s="372"/>
      <c r="K16" s="372"/>
      <c r="L16" s="372"/>
      <c r="M16" s="372"/>
      <c r="N16" s="372"/>
      <c r="O16" s="372"/>
      <c r="P16" s="372"/>
    </row>
    <row r="17" spans="1:16" s="49" customFormat="1" ht="13.5" customHeight="1" x14ac:dyDescent="0.15">
      <c r="A17" s="523" t="s">
        <v>140</v>
      </c>
      <c r="B17" s="524"/>
      <c r="C17" s="110"/>
      <c r="D17" s="26">
        <v>1</v>
      </c>
      <c r="E17" s="26">
        <f>IF(G18,0.5,0)+IF(H18,0.5,0)</f>
        <v>0</v>
      </c>
      <c r="F17" s="534"/>
      <c r="G17" s="376"/>
      <c r="H17" s="376"/>
      <c r="I17" s="376"/>
      <c r="J17" s="376"/>
      <c r="K17" s="376"/>
      <c r="L17" s="376"/>
      <c r="M17" s="376"/>
      <c r="N17" s="376"/>
      <c r="O17" s="376"/>
      <c r="P17" s="376"/>
    </row>
    <row r="18" spans="1:16" s="28" customFormat="1" ht="36" customHeight="1" x14ac:dyDescent="0.15">
      <c r="A18" s="461" t="s">
        <v>263</v>
      </c>
      <c r="B18" s="462"/>
      <c r="C18" s="139"/>
      <c r="D18" s="26"/>
      <c r="E18" s="26"/>
      <c r="F18" s="535"/>
      <c r="G18" s="130" t="b">
        <v>0</v>
      </c>
      <c r="H18" s="130" t="b">
        <v>0</v>
      </c>
      <c r="I18" s="130"/>
      <c r="J18" s="130"/>
      <c r="K18" s="130"/>
      <c r="L18" s="130"/>
      <c r="M18" s="130"/>
      <c r="N18" s="130"/>
      <c r="O18" s="130"/>
      <c r="P18" s="130"/>
    </row>
    <row r="19" spans="1:16" s="49" customFormat="1" ht="12" customHeight="1" x14ac:dyDescent="0.15">
      <c r="A19" s="523" t="s">
        <v>96</v>
      </c>
      <c r="B19" s="524"/>
      <c r="C19" s="110"/>
      <c r="D19" s="26">
        <v>1</v>
      </c>
      <c r="E19" s="26">
        <f>IF(G20,0.5,0)+IF(H20,0.5,0)</f>
        <v>0</v>
      </c>
      <c r="F19" s="534"/>
      <c r="G19" s="376"/>
      <c r="H19" s="376"/>
      <c r="I19" s="376"/>
      <c r="J19" s="376"/>
      <c r="K19" s="376"/>
      <c r="L19" s="376"/>
      <c r="M19" s="376"/>
      <c r="N19" s="376"/>
      <c r="O19" s="376"/>
      <c r="P19" s="376"/>
    </row>
    <row r="20" spans="1:16" s="28" customFormat="1" ht="57.95" customHeight="1" x14ac:dyDescent="0.15">
      <c r="A20" s="461" t="s">
        <v>290</v>
      </c>
      <c r="B20" s="462"/>
      <c r="C20" s="139"/>
      <c r="D20" s="26"/>
      <c r="E20" s="26"/>
      <c r="F20" s="535"/>
      <c r="G20" s="130" t="b">
        <v>0</v>
      </c>
      <c r="H20" s="130" t="b">
        <v>0</v>
      </c>
      <c r="I20" s="130"/>
      <c r="J20" s="130"/>
      <c r="K20" s="130"/>
      <c r="L20" s="130"/>
      <c r="M20" s="130"/>
      <c r="N20" s="130"/>
      <c r="O20" s="130"/>
      <c r="P20" s="130"/>
    </row>
    <row r="21" spans="1:16" s="27" customFormat="1" ht="18.75" customHeight="1" x14ac:dyDescent="0.2">
      <c r="A21" s="45" t="s">
        <v>227</v>
      </c>
      <c r="B21" s="45" t="s">
        <v>75</v>
      </c>
      <c r="C21" s="109"/>
      <c r="D21" s="45">
        <v>3</v>
      </c>
      <c r="E21" s="45">
        <f>MIN(3,G21)</f>
        <v>0</v>
      </c>
      <c r="F21" s="492"/>
      <c r="G21" s="372">
        <f>IF(G22,1,0)+IF(H22,1,0)+IF(I22,1,0)+IF(J22,1,0)</f>
        <v>0</v>
      </c>
      <c r="H21" s="372"/>
      <c r="I21" s="372"/>
      <c r="J21" s="372"/>
      <c r="K21" s="372"/>
      <c r="L21" s="372"/>
      <c r="M21" s="372"/>
      <c r="N21" s="372"/>
      <c r="O21" s="372"/>
      <c r="P21" s="372"/>
    </row>
    <row r="22" spans="1:16" s="28" customFormat="1" ht="45" customHeight="1" x14ac:dyDescent="0.15">
      <c r="A22" s="522" t="s">
        <v>311</v>
      </c>
      <c r="B22" s="522"/>
      <c r="C22" s="142"/>
      <c r="D22" s="26"/>
      <c r="E22" s="26"/>
      <c r="F22" s="494"/>
      <c r="G22" s="130" t="b">
        <v>0</v>
      </c>
      <c r="H22" s="130" t="b">
        <v>0</v>
      </c>
      <c r="I22" s="130" t="b">
        <v>0</v>
      </c>
      <c r="J22" s="130" t="b">
        <v>0</v>
      </c>
      <c r="K22" s="130"/>
      <c r="L22" s="130"/>
      <c r="M22" s="130"/>
      <c r="N22" s="130"/>
      <c r="O22" s="130"/>
      <c r="P22" s="130"/>
    </row>
    <row r="23" spans="1:16" x14ac:dyDescent="0.2">
      <c r="A23" s="20"/>
      <c r="B23" s="20"/>
      <c r="C23" s="82"/>
      <c r="D23" s="20"/>
      <c r="E23" s="20"/>
      <c r="F23" s="20"/>
    </row>
    <row r="24" spans="1:16" s="91" customFormat="1" ht="24.75" customHeight="1" x14ac:dyDescent="0.2">
      <c r="A24" s="62">
        <v>3.2</v>
      </c>
      <c r="B24" s="104" t="s">
        <v>76</v>
      </c>
      <c r="C24" s="111" t="s">
        <v>174</v>
      </c>
      <c r="D24" s="105" t="s">
        <v>189</v>
      </c>
      <c r="E24" s="105" t="s">
        <v>87</v>
      </c>
      <c r="F24" s="274" t="s">
        <v>85</v>
      </c>
      <c r="G24" s="375"/>
      <c r="H24" s="375"/>
      <c r="I24" s="375"/>
      <c r="J24" s="375"/>
      <c r="K24" s="375"/>
      <c r="L24" s="375"/>
      <c r="M24" s="375"/>
      <c r="N24" s="375"/>
      <c r="O24" s="375"/>
      <c r="P24" s="375"/>
    </row>
    <row r="25" spans="1:16" s="27" customFormat="1" ht="14.25" customHeight="1" x14ac:dyDescent="0.2">
      <c r="A25" s="48"/>
      <c r="B25" s="48"/>
      <c r="C25" s="107"/>
      <c r="D25" s="48">
        <v>18</v>
      </c>
      <c r="E25" s="48">
        <f>E27+E43+E50</f>
        <v>0</v>
      </c>
      <c r="F25" s="275"/>
      <c r="G25" s="372"/>
      <c r="H25" s="372"/>
      <c r="I25" s="372"/>
      <c r="J25" s="372"/>
      <c r="K25" s="372"/>
      <c r="L25" s="372"/>
      <c r="M25" s="372"/>
      <c r="N25" s="372"/>
      <c r="O25" s="372"/>
      <c r="P25" s="372"/>
    </row>
    <row r="26" spans="1:16" s="27" customFormat="1" ht="14.25" customHeight="1" x14ac:dyDescent="0.2">
      <c r="A26" s="418" t="s">
        <v>1</v>
      </c>
      <c r="B26" s="418"/>
      <c r="C26" s="108"/>
      <c r="D26" s="44">
        <v>7</v>
      </c>
      <c r="E26" s="44">
        <f>+E34+E40+E46+E48+E64</f>
        <v>0</v>
      </c>
      <c r="F26" s="270"/>
      <c r="G26" s="372"/>
      <c r="H26" s="372"/>
      <c r="I26" s="372"/>
      <c r="J26" s="372"/>
      <c r="K26" s="372"/>
      <c r="L26" s="372"/>
      <c r="M26" s="372"/>
      <c r="N26" s="372"/>
      <c r="O26" s="372"/>
      <c r="P26" s="372"/>
    </row>
    <row r="27" spans="1:16" s="27" customFormat="1" ht="14.25" customHeight="1" x14ac:dyDescent="0.2">
      <c r="A27" s="45" t="s">
        <v>228</v>
      </c>
      <c r="B27" s="45" t="s">
        <v>77</v>
      </c>
      <c r="C27" s="109"/>
      <c r="D27" s="45">
        <v>8</v>
      </c>
      <c r="E27" s="45">
        <f>MIN(D27,E29+E31+E36)</f>
        <v>0</v>
      </c>
      <c r="F27" s="272"/>
      <c r="G27" s="372"/>
      <c r="H27" s="372"/>
      <c r="I27" s="372"/>
      <c r="J27" s="372"/>
      <c r="K27" s="372"/>
      <c r="L27" s="372"/>
      <c r="M27" s="372"/>
      <c r="N27" s="372"/>
      <c r="O27" s="372"/>
      <c r="P27" s="372"/>
    </row>
    <row r="28" spans="1:16" ht="11.25" customHeight="1" x14ac:dyDescent="0.2">
      <c r="A28" s="430" t="s">
        <v>130</v>
      </c>
      <c r="B28" s="431"/>
      <c r="C28" s="73"/>
      <c r="D28" s="19"/>
      <c r="E28" s="19"/>
      <c r="F28" s="273"/>
    </row>
    <row r="29" spans="1:16" s="49" customFormat="1" ht="15" customHeight="1" x14ac:dyDescent="0.15">
      <c r="A29" s="523" t="s">
        <v>145</v>
      </c>
      <c r="B29" s="524"/>
      <c r="C29" s="110"/>
      <c r="D29" s="26">
        <v>1</v>
      </c>
      <c r="E29" s="26">
        <f>MIN(1,IF(G30,1,0)+IF(H30,1,0))</f>
        <v>0</v>
      </c>
      <c r="F29" s="534"/>
      <c r="G29" s="376"/>
      <c r="H29" s="376"/>
      <c r="I29" s="376"/>
      <c r="J29" s="376"/>
      <c r="K29" s="376"/>
      <c r="L29" s="376"/>
      <c r="M29" s="376"/>
      <c r="N29" s="376"/>
      <c r="O29" s="376"/>
      <c r="P29" s="376"/>
    </row>
    <row r="30" spans="1:16" s="28" customFormat="1" ht="30" customHeight="1" x14ac:dyDescent="0.15">
      <c r="A30" s="461" t="s">
        <v>144</v>
      </c>
      <c r="B30" s="462"/>
      <c r="C30" s="139"/>
      <c r="D30" s="26"/>
      <c r="E30" s="26"/>
      <c r="F30" s="535"/>
      <c r="G30" s="130" t="b">
        <v>0</v>
      </c>
      <c r="H30" s="130" t="b">
        <v>0</v>
      </c>
      <c r="I30" s="130"/>
      <c r="J30" s="130"/>
      <c r="K30" s="130"/>
      <c r="L30" s="130"/>
      <c r="M30" s="130"/>
      <c r="N30" s="130"/>
      <c r="O30" s="130"/>
      <c r="P30" s="130"/>
    </row>
    <row r="31" spans="1:16" s="49" customFormat="1" ht="15.75" customHeight="1" x14ac:dyDescent="0.15">
      <c r="A31" s="523" t="s">
        <v>97</v>
      </c>
      <c r="B31" s="524"/>
      <c r="C31" s="110"/>
      <c r="D31" s="26">
        <v>4</v>
      </c>
      <c r="E31" s="26">
        <f>MIN(4,G31+H31)</f>
        <v>0</v>
      </c>
      <c r="F31" s="534"/>
      <c r="G31" s="376">
        <f>IF(AND(C32&gt;0,C32&lt;=0.35),(2.5),IF(AND(C32&gt;0.35,C32&lt;=0.4),(2),IF(AND(C32&gt;0.4,C32&lt;=0.45),(1.5),IF(AND(C32&gt;0.45,C32&lt;=0.5),(1),IF(AND(C32&gt;0.5,C32&lt;=0.6),(0.5),0)))))</f>
        <v>0</v>
      </c>
      <c r="H31" s="376">
        <f>IF(AND(C33&gt;=25,C33&lt;50),(0.5),IF(AND(C33&gt;=50,C33&lt;75),(1),IF(C33&gt;=75,1.5,0)))</f>
        <v>0</v>
      </c>
      <c r="I31" s="376"/>
      <c r="J31" s="376"/>
      <c r="K31" s="376"/>
      <c r="L31" s="376"/>
      <c r="M31" s="376"/>
      <c r="N31" s="376"/>
      <c r="O31" s="376"/>
      <c r="P31" s="376"/>
    </row>
    <row r="32" spans="1:16" s="28" customFormat="1" ht="39.950000000000003" customHeight="1" x14ac:dyDescent="0.2">
      <c r="A32" s="465" t="s">
        <v>394</v>
      </c>
      <c r="B32" s="466"/>
      <c r="C32" s="134">
        <v>0</v>
      </c>
      <c r="D32" s="490"/>
      <c r="E32" s="490"/>
      <c r="F32" s="536"/>
      <c r="G32" s="130"/>
      <c r="H32" s="130"/>
      <c r="I32" s="130"/>
      <c r="J32" s="130"/>
      <c r="K32" s="130"/>
      <c r="L32" s="130"/>
      <c r="M32" s="130"/>
      <c r="N32" s="130"/>
      <c r="O32" s="130"/>
      <c r="P32" s="130"/>
    </row>
    <row r="33" spans="1:16" s="28" customFormat="1" ht="15.95" customHeight="1" x14ac:dyDescent="0.15">
      <c r="A33" s="456"/>
      <c r="B33" s="457"/>
      <c r="C33" s="139">
        <v>0</v>
      </c>
      <c r="D33" s="491"/>
      <c r="E33" s="491"/>
      <c r="F33" s="535"/>
      <c r="G33" s="130"/>
      <c r="H33" s="130"/>
      <c r="I33" s="130"/>
      <c r="J33" s="130"/>
      <c r="K33" s="130"/>
      <c r="L33" s="130"/>
      <c r="M33" s="130"/>
      <c r="N33" s="130"/>
      <c r="O33" s="130"/>
      <c r="P33" s="130"/>
    </row>
    <row r="34" spans="1:16" s="28" customFormat="1" ht="24" customHeight="1" x14ac:dyDescent="0.15">
      <c r="A34" s="419" t="s">
        <v>256</v>
      </c>
      <c r="B34" s="419"/>
      <c r="C34" s="141"/>
      <c r="D34" s="149">
        <v>1</v>
      </c>
      <c r="E34" s="193">
        <f>IF(H34,1,0)</f>
        <v>0</v>
      </c>
      <c r="F34" s="271"/>
      <c r="G34" s="130"/>
      <c r="H34" s="130" t="b">
        <v>0</v>
      </c>
      <c r="I34" s="130"/>
      <c r="J34" s="130"/>
      <c r="K34" s="130"/>
      <c r="L34" s="130"/>
      <c r="M34" s="130"/>
      <c r="N34" s="130"/>
      <c r="O34" s="130"/>
      <c r="P34" s="130"/>
    </row>
    <row r="35" spans="1:16" s="28" customFormat="1" ht="16.5" customHeight="1" x14ac:dyDescent="0.15">
      <c r="A35" s="527" t="s">
        <v>291</v>
      </c>
      <c r="B35" s="528"/>
      <c r="C35" s="201"/>
      <c r="D35" s="149"/>
      <c r="E35" s="193"/>
      <c r="F35" s="202"/>
      <c r="G35" s="130"/>
      <c r="H35" s="130"/>
      <c r="I35" s="130"/>
      <c r="J35" s="130"/>
      <c r="K35" s="130"/>
      <c r="L35" s="130"/>
      <c r="M35" s="130"/>
      <c r="N35" s="130"/>
      <c r="O35" s="130"/>
      <c r="P35" s="130"/>
    </row>
    <row r="36" spans="1:16" s="49" customFormat="1" ht="12.75" customHeight="1" x14ac:dyDescent="0.15">
      <c r="A36" s="523" t="s">
        <v>142</v>
      </c>
      <c r="B36" s="524"/>
      <c r="C36" s="110"/>
      <c r="D36" s="26">
        <v>3</v>
      </c>
      <c r="E36" s="26">
        <f>MIN(3,SUM(G36:I36))</f>
        <v>0</v>
      </c>
      <c r="F36" s="534"/>
      <c r="G36" s="376">
        <f>HLOOKUP(C37,$G$37:$L$38,2,FALSE)</f>
        <v>0</v>
      </c>
      <c r="H36" s="376">
        <f>ROUNDDOWN(C38/5,0)*0.5</f>
        <v>0</v>
      </c>
      <c r="I36" s="376">
        <f>ROUNDDOWN(C39/5,0)*0.5</f>
        <v>0</v>
      </c>
      <c r="J36" s="376"/>
      <c r="K36" s="376"/>
      <c r="L36" s="376"/>
      <c r="M36" s="376"/>
      <c r="N36" s="376"/>
      <c r="O36" s="376"/>
      <c r="P36" s="376"/>
    </row>
    <row r="37" spans="1:16" s="28" customFormat="1" ht="36" customHeight="1" x14ac:dyDescent="0.2">
      <c r="A37" s="465" t="s">
        <v>354</v>
      </c>
      <c r="B37" s="466"/>
      <c r="C37" s="134" t="s">
        <v>353</v>
      </c>
      <c r="D37" s="490"/>
      <c r="E37" s="490"/>
      <c r="F37" s="535"/>
      <c r="G37" s="130" t="s">
        <v>353</v>
      </c>
      <c r="H37" s="130" t="s">
        <v>349</v>
      </c>
      <c r="I37" s="130" t="s">
        <v>350</v>
      </c>
      <c r="J37" s="130" t="s">
        <v>351</v>
      </c>
      <c r="K37" s="130" t="s">
        <v>175</v>
      </c>
      <c r="L37" s="130" t="s">
        <v>352</v>
      </c>
      <c r="M37" s="130"/>
      <c r="N37" s="130"/>
      <c r="O37" s="130"/>
      <c r="P37" s="130"/>
    </row>
    <row r="38" spans="1:16" s="28" customFormat="1" ht="60.75" customHeight="1" x14ac:dyDescent="0.2">
      <c r="A38" s="456"/>
      <c r="B38" s="457"/>
      <c r="C38" s="134">
        <v>0</v>
      </c>
      <c r="D38" s="491"/>
      <c r="E38" s="491"/>
      <c r="F38" s="240"/>
      <c r="G38" s="130"/>
      <c r="H38" s="130">
        <v>0.5</v>
      </c>
      <c r="I38" s="130">
        <v>1</v>
      </c>
      <c r="J38" s="130">
        <v>1.5</v>
      </c>
      <c r="K38" s="130">
        <v>2</v>
      </c>
      <c r="L38" s="130">
        <v>2</v>
      </c>
      <c r="M38" s="130"/>
      <c r="N38" s="130"/>
      <c r="O38" s="130"/>
      <c r="P38" s="130"/>
    </row>
    <row r="39" spans="1:16" s="28" customFormat="1" ht="15" customHeight="1" x14ac:dyDescent="0.2">
      <c r="A39" s="423" t="s">
        <v>355</v>
      </c>
      <c r="B39" s="424"/>
      <c r="C39" s="134">
        <v>0</v>
      </c>
      <c r="D39" s="239"/>
      <c r="E39" s="239"/>
      <c r="F39" s="240"/>
      <c r="G39" s="130"/>
      <c r="H39" s="130"/>
      <c r="I39" s="130"/>
      <c r="J39" s="130"/>
      <c r="K39" s="130"/>
      <c r="L39" s="130"/>
      <c r="M39" s="130"/>
      <c r="N39" s="130"/>
      <c r="O39" s="130"/>
      <c r="P39" s="130"/>
    </row>
    <row r="40" spans="1:16" s="28" customFormat="1" ht="15" customHeight="1" x14ac:dyDescent="0.15">
      <c r="A40" s="419" t="s">
        <v>409</v>
      </c>
      <c r="B40" s="419"/>
      <c r="C40" s="75"/>
      <c r="D40" s="149">
        <v>1</v>
      </c>
      <c r="E40" s="149">
        <f>H41+H42</f>
        <v>0</v>
      </c>
      <c r="F40" s="75"/>
      <c r="G40" s="130"/>
      <c r="H40" s="130"/>
      <c r="I40" s="130"/>
      <c r="J40" s="130"/>
      <c r="K40" s="130"/>
      <c r="L40" s="130"/>
      <c r="M40" s="130"/>
      <c r="N40" s="130"/>
      <c r="O40" s="130"/>
      <c r="P40" s="130"/>
    </row>
    <row r="41" spans="1:16" s="28" customFormat="1" ht="15" customHeight="1" x14ac:dyDescent="0.15">
      <c r="A41" s="529" t="s">
        <v>356</v>
      </c>
      <c r="B41" s="428"/>
      <c r="C41" s="75"/>
      <c r="D41" s="75"/>
      <c r="E41" s="75"/>
      <c r="F41" s="75"/>
      <c r="G41" s="130"/>
      <c r="H41" s="130">
        <f>IF(C37=L37,0.5,0)</f>
        <v>0</v>
      </c>
      <c r="I41" s="130"/>
      <c r="J41" s="130"/>
      <c r="K41" s="130"/>
      <c r="L41" s="130"/>
      <c r="M41" s="130"/>
      <c r="N41" s="130"/>
      <c r="O41" s="130"/>
      <c r="P41" s="130"/>
    </row>
    <row r="42" spans="1:16" s="28" customFormat="1" ht="27.95" customHeight="1" x14ac:dyDescent="0.15">
      <c r="A42" s="529" t="s">
        <v>408</v>
      </c>
      <c r="B42" s="428"/>
      <c r="C42" s="75"/>
      <c r="D42" s="75"/>
      <c r="E42" s="75"/>
      <c r="F42" s="369"/>
      <c r="G42" s="130" t="b">
        <v>0</v>
      </c>
      <c r="H42" s="130">
        <f>IF(G42,0.5,0)</f>
        <v>0</v>
      </c>
      <c r="I42" s="130"/>
      <c r="J42" s="130"/>
      <c r="K42" s="130"/>
      <c r="L42" s="130"/>
      <c r="M42" s="130"/>
      <c r="N42" s="130"/>
      <c r="O42" s="130"/>
      <c r="P42" s="130"/>
    </row>
    <row r="43" spans="1:16" s="27" customFormat="1" ht="15" customHeight="1" x14ac:dyDescent="0.2">
      <c r="A43" s="46" t="s">
        <v>229</v>
      </c>
      <c r="B43" s="55" t="s">
        <v>78</v>
      </c>
      <c r="C43" s="109"/>
      <c r="D43" s="45">
        <v>2</v>
      </c>
      <c r="E43" s="45">
        <f>G44+H44</f>
        <v>0</v>
      </c>
      <c r="F43" s="492"/>
      <c r="G43" s="372"/>
      <c r="H43" s="372"/>
      <c r="I43" s="372"/>
      <c r="J43" s="372"/>
      <c r="K43" s="372"/>
      <c r="L43" s="372"/>
      <c r="M43" s="372"/>
      <c r="N43" s="372"/>
      <c r="O43" s="372"/>
      <c r="P43" s="372"/>
    </row>
    <row r="44" spans="1:16" ht="11.25" customHeight="1" x14ac:dyDescent="0.2">
      <c r="A44" s="430" t="s">
        <v>124</v>
      </c>
      <c r="B44" s="431"/>
      <c r="C44" s="545">
        <v>0</v>
      </c>
      <c r="D44" s="547"/>
      <c r="E44" s="547"/>
      <c r="F44" s="493"/>
      <c r="G44" s="383">
        <f>IF(G45,1,0)</f>
        <v>0</v>
      </c>
      <c r="H44" s="135">
        <f>MIN(1,C44*0.25)</f>
        <v>0</v>
      </c>
    </row>
    <row r="45" spans="1:16" s="28" customFormat="1" ht="72.75" customHeight="1" x14ac:dyDescent="0.15">
      <c r="A45" s="461" t="s">
        <v>292</v>
      </c>
      <c r="B45" s="462"/>
      <c r="C45" s="546"/>
      <c r="D45" s="548"/>
      <c r="E45" s="548"/>
      <c r="F45" s="494"/>
      <c r="G45" s="130" t="b">
        <v>0</v>
      </c>
      <c r="H45" s="130">
        <v>8</v>
      </c>
      <c r="I45" s="130"/>
      <c r="J45" s="130"/>
      <c r="K45" s="130"/>
      <c r="L45" s="130"/>
      <c r="M45" s="130"/>
      <c r="N45" s="130"/>
      <c r="O45" s="130"/>
      <c r="P45" s="130"/>
    </row>
    <row r="46" spans="1:16" s="27" customFormat="1" ht="24" customHeight="1" x14ac:dyDescent="0.2">
      <c r="A46" s="419" t="s">
        <v>257</v>
      </c>
      <c r="B46" s="419"/>
      <c r="C46" s="75"/>
      <c r="D46" s="149">
        <v>1</v>
      </c>
      <c r="E46" s="149">
        <f>MIN(1,C47*0.25)</f>
        <v>0</v>
      </c>
      <c r="F46" s="537"/>
      <c r="G46" s="372"/>
      <c r="H46" s="372"/>
      <c r="I46" s="372"/>
      <c r="J46" s="372"/>
      <c r="K46" s="372"/>
      <c r="L46" s="372"/>
      <c r="M46" s="372"/>
      <c r="N46" s="372"/>
      <c r="O46" s="372"/>
      <c r="P46" s="372"/>
    </row>
    <row r="47" spans="1:16" s="28" customFormat="1" ht="34.5" customHeight="1" x14ac:dyDescent="0.2">
      <c r="A47" s="529" t="s">
        <v>483</v>
      </c>
      <c r="B47" s="428"/>
      <c r="C47" s="133">
        <v>0</v>
      </c>
      <c r="D47" s="21"/>
      <c r="E47" s="21"/>
      <c r="F47" s="538"/>
      <c r="G47" s="130"/>
      <c r="H47" s="130"/>
      <c r="I47" s="130"/>
      <c r="J47" s="130"/>
      <c r="K47" s="130"/>
      <c r="L47" s="130"/>
      <c r="M47" s="130"/>
      <c r="N47" s="130"/>
      <c r="O47" s="130"/>
      <c r="P47" s="130"/>
    </row>
    <row r="48" spans="1:16" s="27" customFormat="1" ht="30" customHeight="1" x14ac:dyDescent="0.2">
      <c r="A48" s="419" t="s">
        <v>258</v>
      </c>
      <c r="B48" s="419"/>
      <c r="C48" s="75"/>
      <c r="D48" s="149">
        <v>2</v>
      </c>
      <c r="E48" s="193">
        <f>IF(G49,2,0)</f>
        <v>0</v>
      </c>
      <c r="F48" s="537"/>
      <c r="G48" s="372"/>
      <c r="H48" s="372"/>
      <c r="I48" s="372"/>
      <c r="J48" s="372"/>
      <c r="K48" s="372"/>
      <c r="L48" s="372"/>
      <c r="M48" s="372"/>
      <c r="N48" s="372"/>
      <c r="O48" s="372"/>
      <c r="P48" s="372"/>
    </row>
    <row r="49" spans="1:16" s="28" customFormat="1" ht="29.25" customHeight="1" x14ac:dyDescent="0.15">
      <c r="A49" s="427" t="s">
        <v>259</v>
      </c>
      <c r="B49" s="428"/>
      <c r="C49" s="140"/>
      <c r="D49" s="21"/>
      <c r="E49" s="21"/>
      <c r="F49" s="538"/>
      <c r="G49" s="130" t="b">
        <v>0</v>
      </c>
      <c r="H49" s="130"/>
      <c r="I49" s="130"/>
      <c r="J49" s="130"/>
      <c r="K49" s="130"/>
      <c r="L49" s="130"/>
      <c r="M49" s="130"/>
      <c r="N49" s="130"/>
      <c r="O49" s="130"/>
      <c r="P49" s="130"/>
    </row>
    <row r="50" spans="1:16" s="27" customFormat="1" ht="15" customHeight="1" x14ac:dyDescent="0.2">
      <c r="A50" s="45" t="s">
        <v>230</v>
      </c>
      <c r="B50" s="45" t="s">
        <v>79</v>
      </c>
      <c r="C50" s="109"/>
      <c r="D50" s="45">
        <v>8</v>
      </c>
      <c r="E50" s="45">
        <f>E52+E62</f>
        <v>0</v>
      </c>
      <c r="F50" s="272"/>
      <c r="G50" s="372"/>
      <c r="H50" s="372"/>
      <c r="I50" s="372"/>
      <c r="J50" s="372"/>
      <c r="K50" s="372"/>
      <c r="L50" s="372"/>
      <c r="M50" s="372"/>
      <c r="N50" s="372"/>
      <c r="O50" s="372"/>
      <c r="P50" s="372"/>
    </row>
    <row r="51" spans="1:16" ht="25.5" customHeight="1" x14ac:dyDescent="0.2">
      <c r="A51" s="430" t="s">
        <v>132</v>
      </c>
      <c r="B51" s="431"/>
      <c r="C51" s="73"/>
      <c r="D51" s="19"/>
      <c r="E51" s="19"/>
      <c r="F51" s="273"/>
    </row>
    <row r="52" spans="1:16" s="49" customFormat="1" ht="12.75" customHeight="1" x14ac:dyDescent="0.15">
      <c r="A52" s="523" t="s">
        <v>143</v>
      </c>
      <c r="B52" s="524"/>
      <c r="C52" s="110"/>
      <c r="D52" s="26">
        <v>8</v>
      </c>
      <c r="E52" s="26">
        <f>MIN(8,I53)</f>
        <v>0</v>
      </c>
      <c r="F52" s="534"/>
      <c r="G52" s="376"/>
      <c r="H52" s="376"/>
      <c r="I52" s="376"/>
      <c r="J52" s="376"/>
      <c r="K52" s="376"/>
      <c r="L52" s="376"/>
      <c r="M52" s="376"/>
      <c r="N52" s="376"/>
      <c r="O52" s="376"/>
      <c r="P52" s="376"/>
    </row>
    <row r="53" spans="1:16" s="72" customFormat="1" ht="155.1" customHeight="1" x14ac:dyDescent="0.2">
      <c r="A53" s="444" t="s">
        <v>165</v>
      </c>
      <c r="B53" s="445"/>
      <c r="C53" s="247">
        <v>0</v>
      </c>
      <c r="D53" s="160" t="s">
        <v>367</v>
      </c>
      <c r="E53" s="160"/>
      <c r="F53" s="535"/>
      <c r="G53" s="163" t="str">
        <f>IF(C54="NA","",IF(C53&gt;0,H53,""))</f>
        <v/>
      </c>
      <c r="H53" s="163" t="s">
        <v>368</v>
      </c>
      <c r="I53" s="163">
        <f>IF(C54="NA",C53,SUM(I56:J61))</f>
        <v>0</v>
      </c>
      <c r="J53" s="163"/>
      <c r="K53" s="163"/>
      <c r="L53" s="163"/>
      <c r="M53" s="163"/>
      <c r="N53" s="163"/>
      <c r="O53" s="163"/>
      <c r="P53" s="163"/>
    </row>
    <row r="54" spans="1:16" s="72" customFormat="1" ht="15" customHeight="1" x14ac:dyDescent="0.15">
      <c r="A54" s="554" t="s">
        <v>376</v>
      </c>
      <c r="B54" s="252" t="s">
        <v>360</v>
      </c>
      <c r="C54" s="249" t="s">
        <v>353</v>
      </c>
      <c r="D54" s="539"/>
      <c r="E54" s="542"/>
      <c r="F54" s="534"/>
      <c r="G54" s="163" t="s">
        <v>353</v>
      </c>
      <c r="H54" s="163" t="s">
        <v>361</v>
      </c>
      <c r="I54" s="163" t="s">
        <v>362</v>
      </c>
      <c r="J54" s="163" t="s">
        <v>363</v>
      </c>
      <c r="K54" s="163" t="str">
        <f>HLOOKUP(C54,G54:J55,2,FALSE)</f>
        <v>Scoring based on total point keyed above</v>
      </c>
      <c r="L54" s="163"/>
      <c r="M54" s="163"/>
      <c r="N54" s="163"/>
      <c r="O54" s="163"/>
      <c r="P54" s="163"/>
    </row>
    <row r="55" spans="1:16" s="72" customFormat="1" ht="15" customHeight="1" x14ac:dyDescent="0.2">
      <c r="A55" s="554"/>
      <c r="B55" s="251"/>
      <c r="C55" s="250"/>
      <c r="D55" s="540"/>
      <c r="E55" s="543"/>
      <c r="F55" s="536"/>
      <c r="G55" s="163" t="s">
        <v>369</v>
      </c>
      <c r="H55" s="163" t="s">
        <v>365</v>
      </c>
      <c r="I55" s="163" t="s">
        <v>364</v>
      </c>
      <c r="J55" s="163" t="s">
        <v>366</v>
      </c>
      <c r="K55" s="163"/>
      <c r="L55" s="163"/>
      <c r="M55" s="163"/>
      <c r="N55" s="163"/>
      <c r="O55" s="163"/>
      <c r="P55" s="163"/>
    </row>
    <row r="56" spans="1:16" s="72" customFormat="1" ht="15" customHeight="1" x14ac:dyDescent="0.2">
      <c r="A56" s="554"/>
      <c r="B56" s="251" t="s">
        <v>370</v>
      </c>
      <c r="C56" s="250"/>
      <c r="D56" s="540"/>
      <c r="E56" s="543"/>
      <c r="F56" s="536"/>
      <c r="G56" s="163" t="b">
        <v>0</v>
      </c>
      <c r="H56" s="163" t="b">
        <v>0</v>
      </c>
      <c r="I56" s="163">
        <f t="shared" ref="I56:I61" si="0">IF(OR($C$54=$H$54,$C$54=$I$54),IF(G56,K56,0),IF($C$54=$J$54,IF(G56,M56,0),0))</f>
        <v>0</v>
      </c>
      <c r="J56" s="163">
        <f t="shared" ref="J56:J61" si="1">IF(G56,IF(OR($C$54=$H$54,$C$54=$I$54),IF(H56,L56,0),IF($C$54=$J$54,IF(H56,N56,0),0)),0)</f>
        <v>0</v>
      </c>
      <c r="K56" s="163">
        <v>1</v>
      </c>
      <c r="L56" s="163">
        <v>2</v>
      </c>
      <c r="M56" s="163">
        <v>1</v>
      </c>
      <c r="N56" s="163">
        <v>2</v>
      </c>
      <c r="O56" s="163" t="str">
        <f t="shared" ref="O56:O61" si="2">IF(AND(H56,G56=FALSE),"You can only score finishes group when base group is scored","")</f>
        <v/>
      </c>
      <c r="P56" s="163"/>
    </row>
    <row r="57" spans="1:16" s="72" customFormat="1" ht="15" customHeight="1" x14ac:dyDescent="0.2">
      <c r="A57" s="554"/>
      <c r="B57" s="251" t="s">
        <v>371</v>
      </c>
      <c r="C57" s="250"/>
      <c r="D57" s="540"/>
      <c r="E57" s="543"/>
      <c r="F57" s="536"/>
      <c r="G57" s="163" t="b">
        <v>0</v>
      </c>
      <c r="H57" s="163" t="b">
        <v>0</v>
      </c>
      <c r="I57" s="163">
        <f t="shared" si="0"/>
        <v>0</v>
      </c>
      <c r="J57" s="163">
        <f t="shared" si="1"/>
        <v>0</v>
      </c>
      <c r="K57" s="163">
        <v>1</v>
      </c>
      <c r="L57" s="163">
        <v>2</v>
      </c>
      <c r="M57" s="163">
        <v>0.5</v>
      </c>
      <c r="N57" s="163">
        <v>1</v>
      </c>
      <c r="O57" s="163" t="str">
        <f t="shared" si="2"/>
        <v/>
      </c>
      <c r="P57" s="163"/>
    </row>
    <row r="58" spans="1:16" s="72" customFormat="1" ht="15" customHeight="1" x14ac:dyDescent="0.2">
      <c r="A58" s="554"/>
      <c r="B58" s="251" t="s">
        <v>372</v>
      </c>
      <c r="C58" s="250"/>
      <c r="D58" s="540"/>
      <c r="E58" s="543"/>
      <c r="F58" s="536"/>
      <c r="G58" s="163" t="b">
        <v>0</v>
      </c>
      <c r="H58" s="163" t="b">
        <v>0</v>
      </c>
      <c r="I58" s="163">
        <f t="shared" si="0"/>
        <v>0</v>
      </c>
      <c r="J58" s="163">
        <f t="shared" si="1"/>
        <v>0</v>
      </c>
      <c r="K58" s="163">
        <v>1</v>
      </c>
      <c r="L58" s="163">
        <v>2</v>
      </c>
      <c r="M58" s="163">
        <v>0.5</v>
      </c>
      <c r="N58" s="163">
        <v>1</v>
      </c>
      <c r="O58" s="163" t="str">
        <f t="shared" si="2"/>
        <v/>
      </c>
      <c r="P58" s="163"/>
    </row>
    <row r="59" spans="1:16" s="72" customFormat="1" ht="15" customHeight="1" x14ac:dyDescent="0.2">
      <c r="A59" s="554"/>
      <c r="B59" s="251" t="s">
        <v>373</v>
      </c>
      <c r="C59" s="250"/>
      <c r="D59" s="540"/>
      <c r="E59" s="543"/>
      <c r="F59" s="536"/>
      <c r="G59" s="163" t="b">
        <v>0</v>
      </c>
      <c r="H59" s="163" t="b">
        <v>0</v>
      </c>
      <c r="I59" s="163">
        <f t="shared" si="0"/>
        <v>0</v>
      </c>
      <c r="J59" s="163">
        <f t="shared" si="1"/>
        <v>0</v>
      </c>
      <c r="K59" s="163">
        <v>1</v>
      </c>
      <c r="L59" s="163">
        <v>0.5</v>
      </c>
      <c r="M59" s="163">
        <v>0.5</v>
      </c>
      <c r="N59" s="163">
        <v>0.25</v>
      </c>
      <c r="O59" s="163" t="str">
        <f t="shared" si="2"/>
        <v/>
      </c>
      <c r="P59" s="163"/>
    </row>
    <row r="60" spans="1:16" s="72" customFormat="1" ht="15" customHeight="1" x14ac:dyDescent="0.2">
      <c r="A60" s="554"/>
      <c r="B60" s="251" t="s">
        <v>374</v>
      </c>
      <c r="C60" s="250"/>
      <c r="D60" s="540"/>
      <c r="E60" s="543"/>
      <c r="F60" s="536"/>
      <c r="G60" s="163" t="b">
        <v>0</v>
      </c>
      <c r="H60" s="163" t="b">
        <v>0</v>
      </c>
      <c r="I60" s="163">
        <f t="shared" si="0"/>
        <v>0</v>
      </c>
      <c r="J60" s="163">
        <f t="shared" si="1"/>
        <v>0</v>
      </c>
      <c r="K60" s="163">
        <v>0.5</v>
      </c>
      <c r="L60" s="163">
        <v>0.5</v>
      </c>
      <c r="M60" s="163">
        <v>0.25</v>
      </c>
      <c r="N60" s="163">
        <v>0.25</v>
      </c>
      <c r="O60" s="163" t="str">
        <f t="shared" si="2"/>
        <v/>
      </c>
      <c r="P60" s="163"/>
    </row>
    <row r="61" spans="1:16" s="72" customFormat="1" ht="15" customHeight="1" x14ac:dyDescent="0.2">
      <c r="A61" s="554"/>
      <c r="B61" s="251" t="s">
        <v>375</v>
      </c>
      <c r="C61" s="250"/>
      <c r="D61" s="541"/>
      <c r="E61" s="544"/>
      <c r="F61" s="535"/>
      <c r="G61" s="163" t="b">
        <v>0</v>
      </c>
      <c r="H61" s="163" t="b">
        <v>0</v>
      </c>
      <c r="I61" s="163">
        <f t="shared" si="0"/>
        <v>0</v>
      </c>
      <c r="J61" s="163">
        <f t="shared" si="1"/>
        <v>0</v>
      </c>
      <c r="K61" s="163">
        <v>0.5</v>
      </c>
      <c r="L61" s="163">
        <v>0.5</v>
      </c>
      <c r="M61" s="163">
        <v>0.5</v>
      </c>
      <c r="N61" s="163">
        <v>0.5</v>
      </c>
      <c r="O61" s="163" t="str">
        <f t="shared" si="2"/>
        <v/>
      </c>
      <c r="P61" s="163"/>
    </row>
    <row r="62" spans="1:16" s="49" customFormat="1" ht="23.25" customHeight="1" x14ac:dyDescent="0.15">
      <c r="A62" s="525" t="s">
        <v>342</v>
      </c>
      <c r="B62" s="526"/>
      <c r="C62" s="248"/>
      <c r="D62" s="26">
        <v>2</v>
      </c>
      <c r="E62" s="26">
        <f>MIN(2,C63*0.25)</f>
        <v>0</v>
      </c>
      <c r="F62" s="534"/>
      <c r="G62" s="376"/>
      <c r="H62" s="376"/>
      <c r="I62" s="376"/>
      <c r="J62" s="376"/>
      <c r="K62" s="376"/>
      <c r="L62" s="376"/>
      <c r="M62" s="376"/>
      <c r="N62" s="376"/>
      <c r="O62" s="376"/>
      <c r="P62" s="376"/>
    </row>
    <row r="63" spans="1:16" s="58" customFormat="1" ht="65.099999999999994" customHeight="1" x14ac:dyDescent="0.2">
      <c r="A63" s="423" t="s">
        <v>312</v>
      </c>
      <c r="B63" s="424"/>
      <c r="C63" s="134">
        <v>0</v>
      </c>
      <c r="D63" s="10"/>
      <c r="E63" s="10"/>
      <c r="F63" s="535"/>
      <c r="G63" s="384"/>
      <c r="H63" s="384"/>
      <c r="I63" s="384"/>
      <c r="J63" s="384"/>
      <c r="K63" s="384"/>
      <c r="L63" s="384"/>
      <c r="M63" s="384"/>
      <c r="N63" s="384"/>
      <c r="O63" s="384"/>
      <c r="P63" s="384"/>
    </row>
    <row r="64" spans="1:16" s="27" customFormat="1" ht="24.75" customHeight="1" x14ac:dyDescent="0.2">
      <c r="A64" s="419" t="s">
        <v>295</v>
      </c>
      <c r="B64" s="419"/>
      <c r="C64" s="75"/>
      <c r="D64" s="149">
        <v>2</v>
      </c>
      <c r="E64" s="149">
        <f>MIN(2,G64)</f>
        <v>0</v>
      </c>
      <c r="F64" s="537"/>
      <c r="G64" s="372">
        <f>(C65*0.25)+(C66*0.5)+(C67*1)</f>
        <v>0</v>
      </c>
      <c r="H64" s="372"/>
      <c r="I64" s="372"/>
      <c r="J64" s="372"/>
      <c r="K64" s="372"/>
      <c r="L64" s="372"/>
      <c r="M64" s="372"/>
      <c r="N64" s="372"/>
      <c r="O64" s="372"/>
      <c r="P64" s="372"/>
    </row>
    <row r="65" spans="1:16" s="28" customFormat="1" ht="35.25" customHeight="1" x14ac:dyDescent="0.2">
      <c r="A65" s="552" t="s">
        <v>293</v>
      </c>
      <c r="B65" s="552"/>
      <c r="C65" s="131">
        <v>0</v>
      </c>
      <c r="D65" s="549"/>
      <c r="E65" s="549"/>
      <c r="F65" s="553"/>
      <c r="G65" s="130"/>
      <c r="H65" s="130"/>
      <c r="I65" s="130"/>
      <c r="J65" s="130"/>
      <c r="K65" s="130"/>
      <c r="L65" s="130"/>
      <c r="M65" s="130"/>
      <c r="N65" s="130"/>
      <c r="O65" s="130"/>
      <c r="P65" s="130"/>
    </row>
    <row r="66" spans="1:16" s="28" customFormat="1" ht="33.75" customHeight="1" x14ac:dyDescent="0.2">
      <c r="A66" s="552"/>
      <c r="B66" s="552"/>
      <c r="C66" s="131">
        <v>0</v>
      </c>
      <c r="D66" s="550"/>
      <c r="E66" s="550"/>
      <c r="F66" s="553"/>
      <c r="G66" s="130"/>
      <c r="H66" s="130"/>
      <c r="I66" s="130"/>
      <c r="J66" s="130"/>
      <c r="K66" s="130"/>
      <c r="L66" s="130"/>
      <c r="M66" s="130"/>
      <c r="N66" s="130"/>
      <c r="O66" s="130"/>
      <c r="P66" s="130"/>
    </row>
    <row r="67" spans="1:16" s="28" customFormat="1" ht="36" customHeight="1" x14ac:dyDescent="0.2">
      <c r="A67" s="552"/>
      <c r="B67" s="552"/>
      <c r="C67" s="131">
        <v>0</v>
      </c>
      <c r="D67" s="551"/>
      <c r="E67" s="551"/>
      <c r="F67" s="538"/>
      <c r="G67" s="130"/>
      <c r="H67" s="130"/>
      <c r="I67" s="130"/>
      <c r="J67" s="130"/>
      <c r="K67" s="130"/>
      <c r="L67" s="130"/>
      <c r="M67" s="130"/>
      <c r="N67" s="130"/>
      <c r="O67" s="130"/>
      <c r="P67" s="130"/>
    </row>
    <row r="68" spans="1:16" x14ac:dyDescent="0.2">
      <c r="A68" s="20"/>
      <c r="B68" s="20"/>
      <c r="C68" s="82"/>
      <c r="D68" s="20"/>
      <c r="E68" s="20"/>
      <c r="F68" s="20"/>
    </row>
    <row r="69" spans="1:16" s="91" customFormat="1" ht="24.75" customHeight="1" x14ac:dyDescent="0.2">
      <c r="A69" s="62">
        <v>3.3</v>
      </c>
      <c r="B69" s="104" t="s">
        <v>80</v>
      </c>
      <c r="C69" s="111" t="s">
        <v>174</v>
      </c>
      <c r="D69" s="105" t="s">
        <v>189</v>
      </c>
      <c r="E69" s="105" t="s">
        <v>87</v>
      </c>
      <c r="F69" s="274" t="s">
        <v>85</v>
      </c>
      <c r="G69" s="375"/>
      <c r="H69" s="375"/>
      <c r="I69" s="375"/>
      <c r="J69" s="375"/>
      <c r="K69" s="375"/>
      <c r="L69" s="375"/>
      <c r="M69" s="375"/>
      <c r="N69" s="375"/>
      <c r="O69" s="375"/>
      <c r="P69" s="375"/>
    </row>
    <row r="70" spans="1:16" s="27" customFormat="1" ht="14.25" customHeight="1" x14ac:dyDescent="0.2">
      <c r="A70" s="48"/>
      <c r="B70" s="48"/>
      <c r="C70" s="107"/>
      <c r="D70" s="48">
        <v>4</v>
      </c>
      <c r="E70" s="48">
        <f>E71+E73</f>
        <v>0</v>
      </c>
      <c r="F70" s="275"/>
      <c r="G70" s="372"/>
      <c r="H70" s="372"/>
      <c r="I70" s="372"/>
      <c r="J70" s="372"/>
      <c r="K70" s="372"/>
      <c r="L70" s="372"/>
      <c r="M70" s="372"/>
      <c r="N70" s="372"/>
      <c r="O70" s="372"/>
      <c r="P70" s="372"/>
    </row>
    <row r="71" spans="1:16" s="27" customFormat="1" ht="29.25" customHeight="1" x14ac:dyDescent="0.2">
      <c r="A71" s="45" t="s">
        <v>231</v>
      </c>
      <c r="B71" s="45" t="s">
        <v>81</v>
      </c>
      <c r="C71" s="142"/>
      <c r="D71" s="45">
        <v>1</v>
      </c>
      <c r="E71" s="59">
        <f>IF(G72,1,0)</f>
        <v>0</v>
      </c>
      <c r="F71" s="492"/>
      <c r="G71" s="372"/>
      <c r="H71" s="372"/>
      <c r="I71" s="372"/>
      <c r="J71" s="372"/>
      <c r="K71" s="372"/>
      <c r="L71" s="372"/>
      <c r="M71" s="372"/>
      <c r="N71" s="372"/>
      <c r="O71" s="372"/>
      <c r="P71" s="372"/>
    </row>
    <row r="72" spans="1:16" s="28" customFormat="1" ht="45" customHeight="1" x14ac:dyDescent="0.15">
      <c r="A72" s="461" t="s">
        <v>294</v>
      </c>
      <c r="B72" s="462"/>
      <c r="C72" s="139"/>
      <c r="D72" s="26"/>
      <c r="E72" s="26"/>
      <c r="F72" s="494"/>
      <c r="G72" s="130" t="b">
        <v>0</v>
      </c>
      <c r="H72" s="130"/>
      <c r="I72" s="130"/>
      <c r="J72" s="130"/>
      <c r="K72" s="130"/>
      <c r="L72" s="130"/>
      <c r="M72" s="130"/>
      <c r="N72" s="130"/>
      <c r="O72" s="130"/>
      <c r="P72" s="130"/>
    </row>
    <row r="73" spans="1:16" s="27" customFormat="1" ht="15" customHeight="1" x14ac:dyDescent="0.2">
      <c r="A73" s="45" t="s">
        <v>232</v>
      </c>
      <c r="B73" s="45" t="s">
        <v>82</v>
      </c>
      <c r="C73" s="109"/>
      <c r="D73" s="45">
        <v>3</v>
      </c>
      <c r="E73" s="45">
        <f>SUM(G75:K75)</f>
        <v>0</v>
      </c>
      <c r="F73" s="492"/>
      <c r="G73" s="372"/>
      <c r="H73" s="372"/>
      <c r="I73" s="372"/>
      <c r="J73" s="372"/>
      <c r="K73" s="372"/>
      <c r="L73" s="372"/>
      <c r="M73" s="372"/>
      <c r="N73" s="372"/>
      <c r="O73" s="372"/>
      <c r="P73" s="372"/>
    </row>
    <row r="74" spans="1:16" s="28" customFormat="1" ht="63.75" customHeight="1" x14ac:dyDescent="0.15">
      <c r="A74" s="461" t="s">
        <v>471</v>
      </c>
      <c r="B74" s="462"/>
      <c r="C74" s="139"/>
      <c r="D74" s="26"/>
      <c r="E74" s="26"/>
      <c r="F74" s="494"/>
      <c r="G74" s="130" t="b">
        <v>0</v>
      </c>
      <c r="H74" s="130" t="b">
        <v>0</v>
      </c>
      <c r="I74" s="130" t="b">
        <v>0</v>
      </c>
      <c r="J74" s="130" t="b">
        <v>0</v>
      </c>
      <c r="K74" s="130" t="b">
        <v>0</v>
      </c>
      <c r="L74" s="130"/>
      <c r="M74" s="130"/>
      <c r="N74" s="130"/>
      <c r="O74" s="130"/>
      <c r="P74" s="130"/>
    </row>
    <row r="75" spans="1:16" x14ac:dyDescent="0.2">
      <c r="A75" s="20"/>
      <c r="B75" s="20"/>
      <c r="C75" s="82"/>
      <c r="D75" s="20"/>
      <c r="E75" s="20"/>
      <c r="F75" s="20"/>
      <c r="G75" s="135">
        <f>IF(G74,1,0)</f>
        <v>0</v>
      </c>
      <c r="H75" s="135">
        <f>IF(H74,1,0)</f>
        <v>0</v>
      </c>
      <c r="I75" s="135">
        <f>IF(I74,1,0)</f>
        <v>0</v>
      </c>
      <c r="J75" s="135">
        <f>IF(J74,0.5,0)</f>
        <v>0</v>
      </c>
      <c r="K75" s="135">
        <f>IF(K74,0.5,0)</f>
        <v>0</v>
      </c>
    </row>
    <row r="76" spans="1:16" x14ac:dyDescent="0.2">
      <c r="A76" s="24" t="s">
        <v>98</v>
      </c>
      <c r="B76" s="25"/>
      <c r="C76" s="106"/>
      <c r="D76" s="25"/>
      <c r="E76" s="356">
        <f>SUM(E6,E25,E70)</f>
        <v>0</v>
      </c>
      <c r="F76" s="25"/>
    </row>
    <row r="77" spans="1:16" x14ac:dyDescent="0.2">
      <c r="A77" s="22" t="s">
        <v>1</v>
      </c>
      <c r="B77" s="23"/>
      <c r="C77" s="103"/>
      <c r="D77" s="23"/>
      <c r="E77" s="353">
        <f>SUM(E26,E7)</f>
        <v>0</v>
      </c>
      <c r="F77" s="23"/>
    </row>
    <row r="78" spans="1:16" x14ac:dyDescent="0.2">
      <c r="A78" s="20"/>
      <c r="B78" s="20"/>
      <c r="C78" s="82"/>
      <c r="D78" s="20"/>
      <c r="E78" s="20"/>
      <c r="F78" s="20"/>
    </row>
    <row r="79" spans="1:16" x14ac:dyDescent="0.2">
      <c r="A79" s="429" t="s">
        <v>93</v>
      </c>
      <c r="B79" s="429"/>
      <c r="C79" s="82"/>
      <c r="D79" s="20"/>
      <c r="E79" s="70"/>
      <c r="F79" s="20"/>
    </row>
    <row r="80" spans="1:16" ht="12.95" customHeight="1" x14ac:dyDescent="0.2">
      <c r="A80" s="471"/>
      <c r="B80" s="471"/>
      <c r="C80" s="471"/>
      <c r="D80" s="471"/>
      <c r="E80" s="471"/>
      <c r="F80" s="471"/>
    </row>
    <row r="81" spans="1:6" x14ac:dyDescent="0.2">
      <c r="A81" s="471"/>
      <c r="B81" s="471"/>
      <c r="C81" s="471"/>
      <c r="D81" s="471"/>
      <c r="E81" s="471"/>
      <c r="F81" s="471"/>
    </row>
    <row r="82" spans="1:6" x14ac:dyDescent="0.2">
      <c r="A82" s="471"/>
      <c r="B82" s="471"/>
      <c r="C82" s="471"/>
      <c r="D82" s="471"/>
      <c r="E82" s="471"/>
      <c r="F82" s="471"/>
    </row>
    <row r="83" spans="1:6" x14ac:dyDescent="0.2">
      <c r="A83" s="471"/>
      <c r="B83" s="471"/>
      <c r="C83" s="471"/>
      <c r="D83" s="471"/>
      <c r="E83" s="471"/>
      <c r="F83" s="471"/>
    </row>
    <row r="84" spans="1:6" x14ac:dyDescent="0.2">
      <c r="B84" s="18"/>
      <c r="D84" s="532"/>
      <c r="E84" s="532"/>
      <c r="F84" s="532"/>
    </row>
    <row r="85" spans="1:6" ht="28.5" customHeight="1" x14ac:dyDescent="0.2">
      <c r="B85" s="18"/>
      <c r="D85" s="531"/>
      <c r="E85" s="531"/>
      <c r="F85" s="531"/>
    </row>
    <row r="86" spans="1:6" x14ac:dyDescent="0.2">
      <c r="B86" s="18"/>
      <c r="D86" s="18"/>
      <c r="E86" s="18"/>
      <c r="F86" s="18"/>
    </row>
    <row r="87" spans="1:6" x14ac:dyDescent="0.2">
      <c r="B87" s="27"/>
      <c r="D87" s="18"/>
      <c r="E87" s="18"/>
      <c r="F87" s="18"/>
    </row>
    <row r="88" spans="1:6" x14ac:dyDescent="0.2">
      <c r="B88" s="18"/>
      <c r="D88" s="530"/>
      <c r="E88" s="530"/>
      <c r="F88" s="530"/>
    </row>
    <row r="89" spans="1:6" x14ac:dyDescent="0.2">
      <c r="B89" s="18"/>
      <c r="D89" s="531"/>
      <c r="E89" s="531"/>
      <c r="F89" s="531"/>
    </row>
    <row r="90" spans="1:6" x14ac:dyDescent="0.2">
      <c r="B90" s="18"/>
      <c r="D90" s="18"/>
      <c r="E90" s="18"/>
      <c r="F90" s="18"/>
    </row>
    <row r="91" spans="1:6" x14ac:dyDescent="0.2">
      <c r="B91" s="27"/>
    </row>
    <row r="92" spans="1:6" x14ac:dyDescent="0.2">
      <c r="B92" s="18"/>
    </row>
    <row r="113" ht="11.25" customHeight="1" x14ac:dyDescent="0.2"/>
  </sheetData>
  <sheetProtection algorithmName="SHA-512" hashValue="LpQtgguWXnocbSyePYBtkU6PSq8XoJVPOSZYiwBJ1lzvxDbWaldEX+4hX7pXd3RFB98oG4B5icy8QxEpAKcw1A==" saltValue="SfL9joRP4+pxTXrNv/0eZw==" spinCount="100000" sheet="1" objects="1" scenarios="1"/>
  <mergeCells count="81">
    <mergeCell ref="A79:B79"/>
    <mergeCell ref="A80:F83"/>
    <mergeCell ref="A44:B44"/>
    <mergeCell ref="A45:B45"/>
    <mergeCell ref="A47:B47"/>
    <mergeCell ref="D65:D67"/>
    <mergeCell ref="E65:E67"/>
    <mergeCell ref="A65:B67"/>
    <mergeCell ref="F64:F67"/>
    <mergeCell ref="A64:B64"/>
    <mergeCell ref="A74:B74"/>
    <mergeCell ref="F73:F74"/>
    <mergeCell ref="F71:F72"/>
    <mergeCell ref="A54:A61"/>
    <mergeCell ref="F62:F63"/>
    <mergeCell ref="F43:F45"/>
    <mergeCell ref="C44:C45"/>
    <mergeCell ref="D44:D45"/>
    <mergeCell ref="E44:E45"/>
    <mergeCell ref="A63:B63"/>
    <mergeCell ref="A49:B49"/>
    <mergeCell ref="F52:F53"/>
    <mergeCell ref="A46:B46"/>
    <mergeCell ref="A48:B48"/>
    <mergeCell ref="D54:D61"/>
    <mergeCell ref="E54:E61"/>
    <mergeCell ref="F54:F61"/>
    <mergeCell ref="A51:B51"/>
    <mergeCell ref="D10:D11"/>
    <mergeCell ref="E10:E11"/>
    <mergeCell ref="F9:F11"/>
    <mergeCell ref="F12:F13"/>
    <mergeCell ref="F14:F15"/>
    <mergeCell ref="F17:F18"/>
    <mergeCell ref="D32:D33"/>
    <mergeCell ref="F46:F47"/>
    <mergeCell ref="F48:F49"/>
    <mergeCell ref="F36:F37"/>
    <mergeCell ref="D37:D38"/>
    <mergeCell ref="E37:E38"/>
    <mergeCell ref="D88:F88"/>
    <mergeCell ref="D89:F89"/>
    <mergeCell ref="D84:F84"/>
    <mergeCell ref="D85:F85"/>
    <mergeCell ref="A2:D2"/>
    <mergeCell ref="B3:D3"/>
    <mergeCell ref="A7:B7"/>
    <mergeCell ref="A9:B9"/>
    <mergeCell ref="F29:F30"/>
    <mergeCell ref="F31:F33"/>
    <mergeCell ref="A29:B29"/>
    <mergeCell ref="E32:E33"/>
    <mergeCell ref="A26:B26"/>
    <mergeCell ref="F19:F20"/>
    <mergeCell ref="F21:F22"/>
    <mergeCell ref="A19:B19"/>
    <mergeCell ref="A72:B72"/>
    <mergeCell ref="A28:B28"/>
    <mergeCell ref="A30:B30"/>
    <mergeCell ref="A31:B31"/>
    <mergeCell ref="A53:B53"/>
    <mergeCell ref="A62:B62"/>
    <mergeCell ref="A52:B52"/>
    <mergeCell ref="A35:B35"/>
    <mergeCell ref="A40:B40"/>
    <mergeCell ref="A41:B41"/>
    <mergeCell ref="A36:B36"/>
    <mergeCell ref="A32:B33"/>
    <mergeCell ref="A34:B34"/>
    <mergeCell ref="A39:B39"/>
    <mergeCell ref="A37:B38"/>
    <mergeCell ref="A42:B42"/>
    <mergeCell ref="A20:B20"/>
    <mergeCell ref="A22:B22"/>
    <mergeCell ref="A10:B11"/>
    <mergeCell ref="A14:B14"/>
    <mergeCell ref="A12:B12"/>
    <mergeCell ref="A13:B13"/>
    <mergeCell ref="A15:B15"/>
    <mergeCell ref="A17:B17"/>
    <mergeCell ref="A18:B18"/>
  </mergeCells>
  <dataValidations count="3">
    <dataValidation type="whole" allowBlank="1" showInputMessage="1" showErrorMessage="1" sqref="H36" xr:uid="{00000000-0002-0000-0400-000000000000}">
      <formula1>0</formula1>
      <formula2>5</formula2>
    </dataValidation>
    <dataValidation type="list" allowBlank="1" showInputMessage="1" showErrorMessage="1" sqref="C37" xr:uid="{00000000-0002-0000-0400-000001000000}">
      <formula1>$G$37:$L$37</formula1>
    </dataValidation>
    <dataValidation type="list" allowBlank="1" showInputMessage="1" showErrorMessage="1" sqref="C54" xr:uid="{00000000-0002-0000-0400-000002000000}">
      <formula1>$G$54:$J$54</formula1>
    </dataValidation>
  </dataValidations>
  <printOptions horizontalCentered="1"/>
  <pageMargins left="0.39370078740157483" right="0.39370078740157483" top="0.31496062992125984" bottom="0.31496062992125984" header="0.31496062992125984" footer="0.23622047244094491"/>
  <pageSetup paperSize="9" scale="98" firstPageNumber="7" fitToHeight="3" pageOrder="overThenDown" orientation="portrait" useFirstPageNumber="1" r:id="rId1"/>
  <headerFooter>
    <oddFooter>&amp;RPage &amp;P</oddFooter>
  </headerFooter>
  <rowBreaks count="2" manualBreakCount="2">
    <brk id="35" max="5" man="1"/>
    <brk id="6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123825</xdr:colOff>
                    <xdr:row>11</xdr:row>
                    <xdr:rowOff>142875</xdr:rowOff>
                  </from>
                  <to>
                    <xdr:col>2</xdr:col>
                    <xdr:colOff>428625</xdr:colOff>
                    <xdr:row>12</xdr:row>
                    <xdr:rowOff>209550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4</xdr:col>
                    <xdr:colOff>152400</xdr:colOff>
                    <xdr:row>1</xdr:row>
                    <xdr:rowOff>123825</xdr:rowOff>
                  </from>
                  <to>
                    <xdr:col>4</xdr:col>
                    <xdr:colOff>457200</xdr:colOff>
                    <xdr:row>3</xdr:row>
                    <xdr:rowOff>28575</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2</xdr:col>
                    <xdr:colOff>123825</xdr:colOff>
                    <xdr:row>12</xdr:row>
                    <xdr:rowOff>257175</xdr:rowOff>
                  </from>
                  <to>
                    <xdr:col>2</xdr:col>
                    <xdr:colOff>428625</xdr:colOff>
                    <xdr:row>12</xdr:row>
                    <xdr:rowOff>485775</xdr:rowOff>
                  </to>
                </anchor>
              </controlPr>
            </control>
          </mc:Choice>
        </mc:AlternateContent>
        <mc:AlternateContent xmlns:mc="http://schemas.openxmlformats.org/markup-compatibility/2006">
          <mc:Choice Requires="x14">
            <control shapeId="3080" r:id="rId7" name="Check Box 8">
              <controlPr locked="0" defaultSize="0" autoFill="0" autoLine="0" autoPict="0">
                <anchor moveWithCells="1">
                  <from>
                    <xdr:col>2</xdr:col>
                    <xdr:colOff>123825</xdr:colOff>
                    <xdr:row>14</xdr:row>
                    <xdr:rowOff>9525</xdr:rowOff>
                  </from>
                  <to>
                    <xdr:col>2</xdr:col>
                    <xdr:colOff>428625</xdr:colOff>
                    <xdr:row>14</xdr:row>
                    <xdr:rowOff>238125</xdr:rowOff>
                  </to>
                </anchor>
              </controlPr>
            </control>
          </mc:Choice>
        </mc:AlternateContent>
        <mc:AlternateContent xmlns:mc="http://schemas.openxmlformats.org/markup-compatibility/2006">
          <mc:Choice Requires="x14">
            <control shapeId="3081" r:id="rId8" name="Check Box 9">
              <controlPr locked="0" defaultSize="0" autoFill="0" autoLine="0" autoPict="0">
                <anchor moveWithCells="1">
                  <from>
                    <xdr:col>2</xdr:col>
                    <xdr:colOff>123825</xdr:colOff>
                    <xdr:row>16</xdr:row>
                    <xdr:rowOff>133350</xdr:rowOff>
                  </from>
                  <to>
                    <xdr:col>2</xdr:col>
                    <xdr:colOff>428625</xdr:colOff>
                    <xdr:row>17</xdr:row>
                    <xdr:rowOff>190500</xdr:rowOff>
                  </to>
                </anchor>
              </controlPr>
            </control>
          </mc:Choice>
        </mc:AlternateContent>
        <mc:AlternateContent xmlns:mc="http://schemas.openxmlformats.org/markup-compatibility/2006">
          <mc:Choice Requires="x14">
            <control shapeId="3082" r:id="rId9" name="Check Box 10">
              <controlPr locked="0" defaultSize="0" autoFill="0" autoLine="0" autoPict="0">
                <anchor moveWithCells="1">
                  <from>
                    <xdr:col>2</xdr:col>
                    <xdr:colOff>123825</xdr:colOff>
                    <xdr:row>17</xdr:row>
                    <xdr:rowOff>104775</xdr:rowOff>
                  </from>
                  <to>
                    <xdr:col>2</xdr:col>
                    <xdr:colOff>428625</xdr:colOff>
                    <xdr:row>17</xdr:row>
                    <xdr:rowOff>333375</xdr:rowOff>
                  </to>
                </anchor>
              </controlPr>
            </control>
          </mc:Choice>
        </mc:AlternateContent>
        <mc:AlternateContent xmlns:mc="http://schemas.openxmlformats.org/markup-compatibility/2006">
          <mc:Choice Requires="x14">
            <control shapeId="3083" r:id="rId10" name="Check Box 11">
              <controlPr locked="0" defaultSize="0" autoFill="0" autoLine="0" autoPict="0">
                <anchor moveWithCells="1">
                  <from>
                    <xdr:col>2</xdr:col>
                    <xdr:colOff>123825</xdr:colOff>
                    <xdr:row>18</xdr:row>
                    <xdr:rowOff>142875</xdr:rowOff>
                  </from>
                  <to>
                    <xdr:col>2</xdr:col>
                    <xdr:colOff>428625</xdr:colOff>
                    <xdr:row>19</xdr:row>
                    <xdr:rowOff>228600</xdr:rowOff>
                  </to>
                </anchor>
              </controlPr>
            </control>
          </mc:Choice>
        </mc:AlternateContent>
        <mc:AlternateContent xmlns:mc="http://schemas.openxmlformats.org/markup-compatibility/2006">
          <mc:Choice Requires="x14">
            <control shapeId="3084" r:id="rId11" name="Check Box 12">
              <controlPr locked="0" defaultSize="0" autoFill="0" autoLine="0" autoPict="0">
                <anchor moveWithCells="1">
                  <from>
                    <xdr:col>2</xdr:col>
                    <xdr:colOff>123825</xdr:colOff>
                    <xdr:row>19</xdr:row>
                    <xdr:rowOff>390525</xdr:rowOff>
                  </from>
                  <to>
                    <xdr:col>2</xdr:col>
                    <xdr:colOff>428625</xdr:colOff>
                    <xdr:row>19</xdr:row>
                    <xdr:rowOff>628650</xdr:rowOff>
                  </to>
                </anchor>
              </controlPr>
            </control>
          </mc:Choice>
        </mc:AlternateContent>
        <mc:AlternateContent xmlns:mc="http://schemas.openxmlformats.org/markup-compatibility/2006">
          <mc:Choice Requires="x14">
            <control shapeId="3085" r:id="rId12" name="Check Box 13">
              <controlPr locked="0" defaultSize="0" autoFill="0" autoLine="0" autoPict="0">
                <anchor moveWithCells="1">
                  <from>
                    <xdr:col>2</xdr:col>
                    <xdr:colOff>123825</xdr:colOff>
                    <xdr:row>20</xdr:row>
                    <xdr:rowOff>209550</xdr:rowOff>
                  </from>
                  <to>
                    <xdr:col>2</xdr:col>
                    <xdr:colOff>428625</xdr:colOff>
                    <xdr:row>21</xdr:row>
                    <xdr:rowOff>219075</xdr:rowOff>
                  </to>
                </anchor>
              </controlPr>
            </control>
          </mc:Choice>
        </mc:AlternateContent>
        <mc:AlternateContent xmlns:mc="http://schemas.openxmlformats.org/markup-compatibility/2006">
          <mc:Choice Requires="x14">
            <control shapeId="3086" r:id="rId13" name="Check Box 14">
              <controlPr locked="0" defaultSize="0" autoFill="0" autoLine="0" autoPict="0">
                <anchor moveWithCells="1">
                  <from>
                    <xdr:col>2</xdr:col>
                    <xdr:colOff>123825</xdr:colOff>
                    <xdr:row>21</xdr:row>
                    <xdr:rowOff>104775</xdr:rowOff>
                  </from>
                  <to>
                    <xdr:col>2</xdr:col>
                    <xdr:colOff>428625</xdr:colOff>
                    <xdr:row>21</xdr:row>
                    <xdr:rowOff>342900</xdr:rowOff>
                  </to>
                </anchor>
              </controlPr>
            </control>
          </mc:Choice>
        </mc:AlternateContent>
        <mc:AlternateContent xmlns:mc="http://schemas.openxmlformats.org/markup-compatibility/2006">
          <mc:Choice Requires="x14">
            <control shapeId="3087" r:id="rId14" name="Check Box 15">
              <controlPr locked="0" defaultSize="0" autoFill="0" autoLine="0" autoPict="0">
                <anchor moveWithCells="1">
                  <from>
                    <xdr:col>2</xdr:col>
                    <xdr:colOff>123825</xdr:colOff>
                    <xdr:row>21</xdr:row>
                    <xdr:rowOff>238125</xdr:rowOff>
                  </from>
                  <to>
                    <xdr:col>2</xdr:col>
                    <xdr:colOff>428625</xdr:colOff>
                    <xdr:row>21</xdr:row>
                    <xdr:rowOff>476250</xdr:rowOff>
                  </to>
                </anchor>
              </controlPr>
            </control>
          </mc:Choice>
        </mc:AlternateContent>
        <mc:AlternateContent xmlns:mc="http://schemas.openxmlformats.org/markup-compatibility/2006">
          <mc:Choice Requires="x14">
            <control shapeId="3088" r:id="rId15" name="Check Box 16">
              <controlPr locked="0" defaultSize="0" autoFill="0" autoLine="0" autoPict="0">
                <anchor moveWithCells="1">
                  <from>
                    <xdr:col>2</xdr:col>
                    <xdr:colOff>123825</xdr:colOff>
                    <xdr:row>21</xdr:row>
                    <xdr:rowOff>371475</xdr:rowOff>
                  </from>
                  <to>
                    <xdr:col>2</xdr:col>
                    <xdr:colOff>428625</xdr:colOff>
                    <xdr:row>22</xdr:row>
                    <xdr:rowOff>38100</xdr:rowOff>
                  </to>
                </anchor>
              </controlPr>
            </control>
          </mc:Choice>
        </mc:AlternateContent>
        <mc:AlternateContent xmlns:mc="http://schemas.openxmlformats.org/markup-compatibility/2006">
          <mc:Choice Requires="x14">
            <control shapeId="3089" r:id="rId16" name="Check Box 17">
              <controlPr locked="0" defaultSize="0" autoFill="0" autoLine="0" autoPict="0">
                <anchor moveWithCells="1">
                  <from>
                    <xdr:col>2</xdr:col>
                    <xdr:colOff>123825</xdr:colOff>
                    <xdr:row>28</xdr:row>
                    <xdr:rowOff>152400</xdr:rowOff>
                  </from>
                  <to>
                    <xdr:col>2</xdr:col>
                    <xdr:colOff>428625</xdr:colOff>
                    <xdr:row>29</xdr:row>
                    <xdr:rowOff>190500</xdr:rowOff>
                  </to>
                </anchor>
              </controlPr>
            </control>
          </mc:Choice>
        </mc:AlternateContent>
        <mc:AlternateContent xmlns:mc="http://schemas.openxmlformats.org/markup-compatibility/2006">
          <mc:Choice Requires="x14">
            <control shapeId="3090" r:id="rId17" name="Check Box 18">
              <controlPr locked="0" defaultSize="0" autoFill="0" autoLine="0" autoPict="0">
                <anchor moveWithCells="1">
                  <from>
                    <xdr:col>2</xdr:col>
                    <xdr:colOff>123825</xdr:colOff>
                    <xdr:row>29</xdr:row>
                    <xdr:rowOff>95250</xdr:rowOff>
                  </from>
                  <to>
                    <xdr:col>2</xdr:col>
                    <xdr:colOff>428625</xdr:colOff>
                    <xdr:row>29</xdr:row>
                    <xdr:rowOff>333375</xdr:rowOff>
                  </to>
                </anchor>
              </controlPr>
            </control>
          </mc:Choice>
        </mc:AlternateContent>
        <mc:AlternateContent xmlns:mc="http://schemas.openxmlformats.org/markup-compatibility/2006">
          <mc:Choice Requires="x14">
            <control shapeId="3091" r:id="rId18" name="Check Box 19">
              <controlPr locked="0" defaultSize="0" autoFill="0" autoLine="0" autoPict="0">
                <anchor moveWithCells="1">
                  <from>
                    <xdr:col>2</xdr:col>
                    <xdr:colOff>123825</xdr:colOff>
                    <xdr:row>70</xdr:row>
                    <xdr:rowOff>47625</xdr:rowOff>
                  </from>
                  <to>
                    <xdr:col>2</xdr:col>
                    <xdr:colOff>428625</xdr:colOff>
                    <xdr:row>70</xdr:row>
                    <xdr:rowOff>276225</xdr:rowOff>
                  </to>
                </anchor>
              </controlPr>
            </control>
          </mc:Choice>
        </mc:AlternateContent>
        <mc:AlternateContent xmlns:mc="http://schemas.openxmlformats.org/markup-compatibility/2006">
          <mc:Choice Requires="x14">
            <control shapeId="3092" r:id="rId19" name="Check Box 20">
              <controlPr locked="0" defaultSize="0" autoFill="0" autoLine="0" autoPict="0">
                <anchor moveWithCells="1">
                  <from>
                    <xdr:col>2</xdr:col>
                    <xdr:colOff>123825</xdr:colOff>
                    <xdr:row>72</xdr:row>
                    <xdr:rowOff>171450</xdr:rowOff>
                  </from>
                  <to>
                    <xdr:col>2</xdr:col>
                    <xdr:colOff>428625</xdr:colOff>
                    <xdr:row>73</xdr:row>
                    <xdr:rowOff>209550</xdr:rowOff>
                  </to>
                </anchor>
              </controlPr>
            </control>
          </mc:Choice>
        </mc:AlternateContent>
        <mc:AlternateContent xmlns:mc="http://schemas.openxmlformats.org/markup-compatibility/2006">
          <mc:Choice Requires="x14">
            <control shapeId="3093" r:id="rId20" name="Check Box 21">
              <controlPr locked="0" defaultSize="0" autoFill="0" autoLine="0" autoPict="0">
                <anchor moveWithCells="1">
                  <from>
                    <xdr:col>2</xdr:col>
                    <xdr:colOff>123825</xdr:colOff>
                    <xdr:row>73</xdr:row>
                    <xdr:rowOff>200025</xdr:rowOff>
                  </from>
                  <to>
                    <xdr:col>2</xdr:col>
                    <xdr:colOff>428625</xdr:colOff>
                    <xdr:row>73</xdr:row>
                    <xdr:rowOff>428625</xdr:rowOff>
                  </to>
                </anchor>
              </controlPr>
            </control>
          </mc:Choice>
        </mc:AlternateContent>
        <mc:AlternateContent xmlns:mc="http://schemas.openxmlformats.org/markup-compatibility/2006">
          <mc:Choice Requires="x14">
            <control shapeId="3094" r:id="rId21" name="Check Box 22">
              <controlPr locked="0" defaultSize="0" autoFill="0" autoLine="0" autoPict="0">
                <anchor moveWithCells="1">
                  <from>
                    <xdr:col>2</xdr:col>
                    <xdr:colOff>123825</xdr:colOff>
                    <xdr:row>73</xdr:row>
                    <xdr:rowOff>342900</xdr:rowOff>
                  </from>
                  <to>
                    <xdr:col>2</xdr:col>
                    <xdr:colOff>428625</xdr:colOff>
                    <xdr:row>73</xdr:row>
                    <xdr:rowOff>571500</xdr:rowOff>
                  </to>
                </anchor>
              </controlPr>
            </control>
          </mc:Choice>
        </mc:AlternateContent>
        <mc:AlternateContent xmlns:mc="http://schemas.openxmlformats.org/markup-compatibility/2006">
          <mc:Choice Requires="x14">
            <control shapeId="3096" r:id="rId22" name="Check Box 24">
              <controlPr locked="0" defaultSize="0" autoFill="0" autoLine="0" autoPict="0">
                <anchor moveWithCells="1">
                  <from>
                    <xdr:col>2</xdr:col>
                    <xdr:colOff>123825</xdr:colOff>
                    <xdr:row>48</xdr:row>
                    <xdr:rowOff>76200</xdr:rowOff>
                  </from>
                  <to>
                    <xdr:col>2</xdr:col>
                    <xdr:colOff>428625</xdr:colOff>
                    <xdr:row>48</xdr:row>
                    <xdr:rowOff>314325</xdr:rowOff>
                  </to>
                </anchor>
              </controlPr>
            </control>
          </mc:Choice>
        </mc:AlternateContent>
        <mc:AlternateContent xmlns:mc="http://schemas.openxmlformats.org/markup-compatibility/2006">
          <mc:Choice Requires="x14">
            <control shapeId="3097" r:id="rId23" name="Check Box 25">
              <controlPr locked="0" defaultSize="0" autoFill="0" autoLine="0" autoPict="0">
                <anchor moveWithCells="1">
                  <from>
                    <xdr:col>2</xdr:col>
                    <xdr:colOff>123825</xdr:colOff>
                    <xdr:row>44</xdr:row>
                    <xdr:rowOff>238125</xdr:rowOff>
                  </from>
                  <to>
                    <xdr:col>2</xdr:col>
                    <xdr:colOff>428625</xdr:colOff>
                    <xdr:row>44</xdr:row>
                    <xdr:rowOff>466725</xdr:rowOff>
                  </to>
                </anchor>
              </controlPr>
            </control>
          </mc:Choice>
        </mc:AlternateContent>
        <mc:AlternateContent xmlns:mc="http://schemas.openxmlformats.org/markup-compatibility/2006">
          <mc:Choice Requires="x14">
            <control shapeId="3099" r:id="rId24" name="Check Box 27">
              <controlPr locked="0" defaultSize="0" autoFill="0" autoLine="0" autoPict="0">
                <anchor moveWithCells="1">
                  <from>
                    <xdr:col>2</xdr:col>
                    <xdr:colOff>123825</xdr:colOff>
                    <xdr:row>33</xdr:row>
                    <xdr:rowOff>371475</xdr:rowOff>
                  </from>
                  <to>
                    <xdr:col>2</xdr:col>
                    <xdr:colOff>428625</xdr:colOff>
                    <xdr:row>35</xdr:row>
                    <xdr:rowOff>19050</xdr:rowOff>
                  </to>
                </anchor>
              </controlPr>
            </control>
          </mc:Choice>
        </mc:AlternateContent>
        <mc:AlternateContent xmlns:mc="http://schemas.openxmlformats.org/markup-compatibility/2006">
          <mc:Choice Requires="x14">
            <control shapeId="3100" r:id="rId25" name="Check Box 28">
              <controlPr locked="0" defaultSize="0" autoFill="0" autoLine="0" autoPict="0">
                <anchor moveWithCells="1">
                  <from>
                    <xdr:col>2</xdr:col>
                    <xdr:colOff>123825</xdr:colOff>
                    <xdr:row>14</xdr:row>
                    <xdr:rowOff>266700</xdr:rowOff>
                  </from>
                  <to>
                    <xdr:col>2</xdr:col>
                    <xdr:colOff>428625</xdr:colOff>
                    <xdr:row>14</xdr:row>
                    <xdr:rowOff>495300</xdr:rowOff>
                  </to>
                </anchor>
              </controlPr>
            </control>
          </mc:Choice>
        </mc:AlternateContent>
        <mc:AlternateContent xmlns:mc="http://schemas.openxmlformats.org/markup-compatibility/2006">
          <mc:Choice Requires="x14">
            <control shapeId="3106" r:id="rId26" name="Check Box 34">
              <controlPr locked="0" defaultSize="0" autoFill="0" autoLine="0" autoPict="0">
                <anchor moveWithCells="1">
                  <from>
                    <xdr:col>2</xdr:col>
                    <xdr:colOff>47625</xdr:colOff>
                    <xdr:row>54</xdr:row>
                    <xdr:rowOff>161925</xdr:rowOff>
                  </from>
                  <to>
                    <xdr:col>2</xdr:col>
                    <xdr:colOff>352425</xdr:colOff>
                    <xdr:row>56</xdr:row>
                    <xdr:rowOff>19050</xdr:rowOff>
                  </to>
                </anchor>
              </controlPr>
            </control>
          </mc:Choice>
        </mc:AlternateContent>
        <mc:AlternateContent xmlns:mc="http://schemas.openxmlformats.org/markup-compatibility/2006">
          <mc:Choice Requires="x14">
            <control shapeId="3108" r:id="rId27" name="Check Box 36">
              <controlPr locked="0" defaultSize="0" autoFill="0" autoLine="0" autoPict="0">
                <anchor moveWithCells="1">
                  <from>
                    <xdr:col>2</xdr:col>
                    <xdr:colOff>266700</xdr:colOff>
                    <xdr:row>54</xdr:row>
                    <xdr:rowOff>161925</xdr:rowOff>
                  </from>
                  <to>
                    <xdr:col>3</xdr:col>
                    <xdr:colOff>66675</xdr:colOff>
                    <xdr:row>56</xdr:row>
                    <xdr:rowOff>19050</xdr:rowOff>
                  </to>
                </anchor>
              </controlPr>
            </control>
          </mc:Choice>
        </mc:AlternateContent>
        <mc:AlternateContent xmlns:mc="http://schemas.openxmlformats.org/markup-compatibility/2006">
          <mc:Choice Requires="x14">
            <control shapeId="3110" r:id="rId28" name="Check Box 38">
              <controlPr locked="0" defaultSize="0" autoFill="0" autoLine="0" autoPict="0">
                <anchor moveWithCells="1">
                  <from>
                    <xdr:col>2</xdr:col>
                    <xdr:colOff>47625</xdr:colOff>
                    <xdr:row>55</xdr:row>
                    <xdr:rowOff>161925</xdr:rowOff>
                  </from>
                  <to>
                    <xdr:col>2</xdr:col>
                    <xdr:colOff>352425</xdr:colOff>
                    <xdr:row>57</xdr:row>
                    <xdr:rowOff>19050</xdr:rowOff>
                  </to>
                </anchor>
              </controlPr>
            </control>
          </mc:Choice>
        </mc:AlternateContent>
        <mc:AlternateContent xmlns:mc="http://schemas.openxmlformats.org/markup-compatibility/2006">
          <mc:Choice Requires="x14">
            <control shapeId="3111" r:id="rId29" name="Check Box 39">
              <controlPr locked="0" defaultSize="0" autoFill="0" autoLine="0" autoPict="0">
                <anchor moveWithCells="1">
                  <from>
                    <xdr:col>2</xdr:col>
                    <xdr:colOff>266700</xdr:colOff>
                    <xdr:row>55</xdr:row>
                    <xdr:rowOff>152400</xdr:rowOff>
                  </from>
                  <to>
                    <xdr:col>3</xdr:col>
                    <xdr:colOff>66675</xdr:colOff>
                    <xdr:row>57</xdr:row>
                    <xdr:rowOff>9525</xdr:rowOff>
                  </to>
                </anchor>
              </controlPr>
            </control>
          </mc:Choice>
        </mc:AlternateContent>
        <mc:AlternateContent xmlns:mc="http://schemas.openxmlformats.org/markup-compatibility/2006">
          <mc:Choice Requires="x14">
            <control shapeId="3112" r:id="rId30" name="Check Box 40">
              <controlPr locked="0" defaultSize="0" autoFill="0" autoLine="0" autoPict="0">
                <anchor moveWithCells="1">
                  <from>
                    <xdr:col>2</xdr:col>
                    <xdr:colOff>47625</xdr:colOff>
                    <xdr:row>56</xdr:row>
                    <xdr:rowOff>161925</xdr:rowOff>
                  </from>
                  <to>
                    <xdr:col>2</xdr:col>
                    <xdr:colOff>352425</xdr:colOff>
                    <xdr:row>58</xdr:row>
                    <xdr:rowOff>19050</xdr:rowOff>
                  </to>
                </anchor>
              </controlPr>
            </control>
          </mc:Choice>
        </mc:AlternateContent>
        <mc:AlternateContent xmlns:mc="http://schemas.openxmlformats.org/markup-compatibility/2006">
          <mc:Choice Requires="x14">
            <control shapeId="3113" r:id="rId31" name="Check Box 41">
              <controlPr locked="0" defaultSize="0" autoFill="0" autoLine="0" autoPict="0">
                <anchor moveWithCells="1">
                  <from>
                    <xdr:col>2</xdr:col>
                    <xdr:colOff>266700</xdr:colOff>
                    <xdr:row>56</xdr:row>
                    <xdr:rowOff>161925</xdr:rowOff>
                  </from>
                  <to>
                    <xdr:col>3</xdr:col>
                    <xdr:colOff>66675</xdr:colOff>
                    <xdr:row>58</xdr:row>
                    <xdr:rowOff>19050</xdr:rowOff>
                  </to>
                </anchor>
              </controlPr>
            </control>
          </mc:Choice>
        </mc:AlternateContent>
        <mc:AlternateContent xmlns:mc="http://schemas.openxmlformats.org/markup-compatibility/2006">
          <mc:Choice Requires="x14">
            <control shapeId="3114" r:id="rId32" name="Check Box 42">
              <controlPr locked="0" defaultSize="0" autoFill="0" autoLine="0" autoPict="0">
                <anchor moveWithCells="1">
                  <from>
                    <xdr:col>2</xdr:col>
                    <xdr:colOff>47625</xdr:colOff>
                    <xdr:row>57</xdr:row>
                    <xdr:rowOff>161925</xdr:rowOff>
                  </from>
                  <to>
                    <xdr:col>2</xdr:col>
                    <xdr:colOff>352425</xdr:colOff>
                    <xdr:row>59</xdr:row>
                    <xdr:rowOff>19050</xdr:rowOff>
                  </to>
                </anchor>
              </controlPr>
            </control>
          </mc:Choice>
        </mc:AlternateContent>
        <mc:AlternateContent xmlns:mc="http://schemas.openxmlformats.org/markup-compatibility/2006">
          <mc:Choice Requires="x14">
            <control shapeId="3115" r:id="rId33" name="Check Box 43">
              <controlPr locked="0" defaultSize="0" autoFill="0" autoLine="0" autoPict="0">
                <anchor moveWithCells="1">
                  <from>
                    <xdr:col>2</xdr:col>
                    <xdr:colOff>266700</xdr:colOff>
                    <xdr:row>57</xdr:row>
                    <xdr:rowOff>171450</xdr:rowOff>
                  </from>
                  <to>
                    <xdr:col>3</xdr:col>
                    <xdr:colOff>66675</xdr:colOff>
                    <xdr:row>59</xdr:row>
                    <xdr:rowOff>28575</xdr:rowOff>
                  </to>
                </anchor>
              </controlPr>
            </control>
          </mc:Choice>
        </mc:AlternateContent>
        <mc:AlternateContent xmlns:mc="http://schemas.openxmlformats.org/markup-compatibility/2006">
          <mc:Choice Requires="x14">
            <control shapeId="3116" r:id="rId34" name="Check Box 44">
              <controlPr locked="0" defaultSize="0" autoFill="0" autoLine="0" autoPict="0">
                <anchor moveWithCells="1">
                  <from>
                    <xdr:col>2</xdr:col>
                    <xdr:colOff>47625</xdr:colOff>
                    <xdr:row>58</xdr:row>
                    <xdr:rowOff>161925</xdr:rowOff>
                  </from>
                  <to>
                    <xdr:col>2</xdr:col>
                    <xdr:colOff>352425</xdr:colOff>
                    <xdr:row>60</xdr:row>
                    <xdr:rowOff>19050</xdr:rowOff>
                  </to>
                </anchor>
              </controlPr>
            </control>
          </mc:Choice>
        </mc:AlternateContent>
        <mc:AlternateContent xmlns:mc="http://schemas.openxmlformats.org/markup-compatibility/2006">
          <mc:Choice Requires="x14">
            <control shapeId="3117" r:id="rId35" name="Check Box 45">
              <controlPr locked="0" defaultSize="0" autoFill="0" autoLine="0" autoPict="0">
                <anchor moveWithCells="1">
                  <from>
                    <xdr:col>2</xdr:col>
                    <xdr:colOff>266700</xdr:colOff>
                    <xdr:row>58</xdr:row>
                    <xdr:rowOff>171450</xdr:rowOff>
                  </from>
                  <to>
                    <xdr:col>3</xdr:col>
                    <xdr:colOff>66675</xdr:colOff>
                    <xdr:row>60</xdr:row>
                    <xdr:rowOff>28575</xdr:rowOff>
                  </to>
                </anchor>
              </controlPr>
            </control>
          </mc:Choice>
        </mc:AlternateContent>
        <mc:AlternateContent xmlns:mc="http://schemas.openxmlformats.org/markup-compatibility/2006">
          <mc:Choice Requires="x14">
            <control shapeId="3118" r:id="rId36" name="Check Box 46">
              <controlPr locked="0" defaultSize="0" autoFill="0" autoLine="0" autoPict="0">
                <anchor moveWithCells="1">
                  <from>
                    <xdr:col>2</xdr:col>
                    <xdr:colOff>47625</xdr:colOff>
                    <xdr:row>59</xdr:row>
                    <xdr:rowOff>152400</xdr:rowOff>
                  </from>
                  <to>
                    <xdr:col>2</xdr:col>
                    <xdr:colOff>352425</xdr:colOff>
                    <xdr:row>61</xdr:row>
                    <xdr:rowOff>9525</xdr:rowOff>
                  </to>
                </anchor>
              </controlPr>
            </control>
          </mc:Choice>
        </mc:AlternateContent>
        <mc:AlternateContent xmlns:mc="http://schemas.openxmlformats.org/markup-compatibility/2006">
          <mc:Choice Requires="x14">
            <control shapeId="3119" r:id="rId37" name="Check Box 47">
              <controlPr locked="0" defaultSize="0" autoFill="0" autoLine="0" autoPict="0">
                <anchor moveWithCells="1">
                  <from>
                    <xdr:col>2</xdr:col>
                    <xdr:colOff>266700</xdr:colOff>
                    <xdr:row>59</xdr:row>
                    <xdr:rowOff>161925</xdr:rowOff>
                  </from>
                  <to>
                    <xdr:col>3</xdr:col>
                    <xdr:colOff>66675</xdr:colOff>
                    <xdr:row>61</xdr:row>
                    <xdr:rowOff>19050</xdr:rowOff>
                  </to>
                </anchor>
              </controlPr>
            </control>
          </mc:Choice>
        </mc:AlternateContent>
        <mc:AlternateContent xmlns:mc="http://schemas.openxmlformats.org/markup-compatibility/2006">
          <mc:Choice Requires="x14">
            <control shapeId="3122" r:id="rId38" name="Check Box 50">
              <controlPr locked="0" defaultSize="0" autoFill="0" autoLine="0" autoPict="0">
                <anchor moveWithCells="1">
                  <from>
                    <xdr:col>2</xdr:col>
                    <xdr:colOff>133350</xdr:colOff>
                    <xdr:row>41</xdr:row>
                    <xdr:rowOff>47625</xdr:rowOff>
                  </from>
                  <to>
                    <xdr:col>2</xdr:col>
                    <xdr:colOff>438150</xdr:colOff>
                    <xdr:row>41</xdr:row>
                    <xdr:rowOff>276225</xdr:rowOff>
                  </to>
                </anchor>
              </controlPr>
            </control>
          </mc:Choice>
        </mc:AlternateContent>
        <mc:AlternateContent xmlns:mc="http://schemas.openxmlformats.org/markup-compatibility/2006">
          <mc:Choice Requires="x14">
            <control shapeId="3125" r:id="rId39" name="Check Box 53">
              <controlPr locked="0" defaultSize="0" autoFill="0" autoLine="0" autoPict="0">
                <anchor moveWithCells="1">
                  <from>
                    <xdr:col>2</xdr:col>
                    <xdr:colOff>123825</xdr:colOff>
                    <xdr:row>73</xdr:row>
                    <xdr:rowOff>485775</xdr:rowOff>
                  </from>
                  <to>
                    <xdr:col>2</xdr:col>
                    <xdr:colOff>428625</xdr:colOff>
                    <xdr:row>73</xdr:row>
                    <xdr:rowOff>714375</xdr:rowOff>
                  </to>
                </anchor>
              </controlPr>
            </control>
          </mc:Choice>
        </mc:AlternateContent>
        <mc:AlternateContent xmlns:mc="http://schemas.openxmlformats.org/markup-compatibility/2006">
          <mc:Choice Requires="x14">
            <control shapeId="3126" r:id="rId40" name="Check Box 54">
              <controlPr locked="0" defaultSize="0" autoFill="0" autoLine="0" autoPict="0">
                <anchor moveWithCells="1">
                  <from>
                    <xdr:col>2</xdr:col>
                    <xdr:colOff>123825</xdr:colOff>
                    <xdr:row>73</xdr:row>
                    <xdr:rowOff>619125</xdr:rowOff>
                  </from>
                  <to>
                    <xdr:col>2</xdr:col>
                    <xdr:colOff>428625</xdr:colOff>
                    <xdr:row>74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117"/>
  <sheetViews>
    <sheetView view="pageBreakPreview" zoomScale="115" zoomScaleNormal="100" zoomScaleSheetLayoutView="115" workbookViewId="0">
      <selection activeCell="W108" sqref="W108"/>
    </sheetView>
  </sheetViews>
  <sheetFormatPr defaultColWidth="9.140625" defaultRowHeight="12" x14ac:dyDescent="0.2"/>
  <cols>
    <col min="1" max="1" width="6" style="18" customWidth="1"/>
    <col min="2" max="2" width="45.7109375" style="18" customWidth="1"/>
    <col min="3" max="3" width="7.5703125" style="77" customWidth="1"/>
    <col min="4" max="4" width="9.5703125" style="18" customWidth="1"/>
    <col min="5" max="5" width="8.5703125" style="39" customWidth="1"/>
    <col min="6" max="6" width="12.7109375" style="18" customWidth="1"/>
    <col min="7" max="7" width="9.28515625" style="168" hidden="1" customWidth="1"/>
    <col min="8" max="8" width="13" style="168" hidden="1" customWidth="1"/>
    <col min="9" max="9" width="19.7109375" style="168" hidden="1" customWidth="1"/>
    <col min="10" max="10" width="21.5703125" style="168" hidden="1" customWidth="1"/>
    <col min="11" max="11" width="21" style="168" hidden="1" customWidth="1"/>
    <col min="12" max="12" width="11.42578125" style="371" hidden="1" customWidth="1"/>
    <col min="13" max="14" width="11.42578125" style="18" hidden="1" customWidth="1"/>
    <col min="15" max="16" width="13.140625" style="18" hidden="1" customWidth="1"/>
    <col min="17" max="17" width="9.140625" style="18" customWidth="1"/>
    <col min="18" max="1024" width="11.5703125" style="18"/>
    <col min="1025" max="16384" width="9.140625" style="18"/>
  </cols>
  <sheetData>
    <row r="1" spans="1:12" x14ac:dyDescent="0.2">
      <c r="A1" s="50" t="s">
        <v>99</v>
      </c>
      <c r="B1" s="51"/>
      <c r="C1" s="116"/>
      <c r="D1" s="51"/>
      <c r="E1" s="67"/>
      <c r="F1" s="51"/>
    </row>
    <row r="2" spans="1:12" s="27" customFormat="1" x14ac:dyDescent="0.2">
      <c r="A2" s="567" t="s">
        <v>83</v>
      </c>
      <c r="B2" s="567"/>
      <c r="C2" s="567"/>
      <c r="D2" s="567"/>
      <c r="E2" s="68" t="s">
        <v>84</v>
      </c>
      <c r="F2" s="278" t="s">
        <v>85</v>
      </c>
      <c r="G2" s="144"/>
      <c r="H2" s="144"/>
      <c r="I2" s="144"/>
      <c r="J2" s="144"/>
      <c r="K2" s="144"/>
      <c r="L2" s="372"/>
    </row>
    <row r="3" spans="1:12" x14ac:dyDescent="0.2">
      <c r="A3" s="17" t="s">
        <v>233</v>
      </c>
      <c r="B3" s="507" t="s">
        <v>9</v>
      </c>
      <c r="C3" s="507"/>
      <c r="D3" s="507"/>
      <c r="E3" s="146"/>
      <c r="F3" s="281"/>
      <c r="G3" s="168" t="b">
        <v>0</v>
      </c>
      <c r="H3" s="373"/>
    </row>
    <row r="4" spans="1:12" x14ac:dyDescent="0.2">
      <c r="A4" s="17" t="s">
        <v>234</v>
      </c>
      <c r="B4" s="507" t="s">
        <v>11</v>
      </c>
      <c r="C4" s="507"/>
      <c r="D4" s="507"/>
      <c r="E4" s="146"/>
      <c r="F4" s="281"/>
      <c r="G4" s="168" t="b">
        <v>0</v>
      </c>
      <c r="H4" s="373"/>
    </row>
    <row r="5" spans="1:12" x14ac:dyDescent="0.2">
      <c r="A5" s="17" t="s">
        <v>13</v>
      </c>
      <c r="B5" s="507" t="s">
        <v>14</v>
      </c>
      <c r="C5" s="507"/>
      <c r="D5" s="507"/>
      <c r="E5" s="146"/>
      <c r="F5" s="281"/>
      <c r="G5" s="168" t="b">
        <v>0</v>
      </c>
      <c r="H5" s="373"/>
    </row>
    <row r="6" spans="1:12" x14ac:dyDescent="0.2">
      <c r="A6" s="17" t="s">
        <v>16</v>
      </c>
      <c r="B6" s="507" t="s">
        <v>100</v>
      </c>
      <c r="C6" s="507"/>
      <c r="D6" s="507"/>
      <c r="E6" s="146"/>
      <c r="F6" s="281"/>
      <c r="G6" s="168" t="b">
        <v>0</v>
      </c>
      <c r="H6" s="373"/>
    </row>
    <row r="7" spans="1:12" x14ac:dyDescent="0.2">
      <c r="A7" s="17" t="s">
        <v>19</v>
      </c>
      <c r="B7" s="507" t="s">
        <v>20</v>
      </c>
      <c r="C7" s="507"/>
      <c r="D7" s="507"/>
      <c r="E7" s="146"/>
      <c r="F7" s="281"/>
      <c r="G7" s="168" t="b">
        <v>0</v>
      </c>
      <c r="H7" s="373"/>
    </row>
    <row r="8" spans="1:12" x14ac:dyDescent="0.2">
      <c r="A8" s="17" t="s">
        <v>22</v>
      </c>
      <c r="B8" s="507" t="s">
        <v>23</v>
      </c>
      <c r="C8" s="507"/>
      <c r="D8" s="507"/>
      <c r="E8" s="146"/>
      <c r="F8" s="281"/>
      <c r="G8" s="168" t="b">
        <v>0</v>
      </c>
      <c r="H8" s="373"/>
    </row>
    <row r="9" spans="1:12" ht="12.75" customHeight="1" x14ac:dyDescent="0.2">
      <c r="A9" s="17" t="s">
        <v>25</v>
      </c>
      <c r="B9" s="568" t="s">
        <v>101</v>
      </c>
      <c r="C9" s="568"/>
      <c r="D9" s="568"/>
      <c r="E9" s="146"/>
      <c r="F9" s="281"/>
      <c r="G9" s="168" t="b">
        <v>0</v>
      </c>
      <c r="H9" s="373"/>
    </row>
    <row r="10" spans="1:12" ht="12.75" customHeight="1" x14ac:dyDescent="0.2">
      <c r="A10" s="17" t="s">
        <v>26</v>
      </c>
      <c r="B10" s="507" t="s">
        <v>344</v>
      </c>
      <c r="C10" s="507"/>
      <c r="D10" s="507"/>
      <c r="E10" s="146"/>
      <c r="F10" s="282"/>
      <c r="G10" s="168" t="b">
        <v>0</v>
      </c>
      <c r="H10" s="373"/>
    </row>
    <row r="12" spans="1:12" s="91" customFormat="1" ht="24" customHeight="1" x14ac:dyDescent="0.2">
      <c r="A12" s="112">
        <v>4.0999999999999996</v>
      </c>
      <c r="B12" s="113" t="s">
        <v>29</v>
      </c>
      <c r="C12" s="118" t="s">
        <v>174</v>
      </c>
      <c r="D12" s="289" t="s">
        <v>189</v>
      </c>
      <c r="E12" s="114" t="s">
        <v>87</v>
      </c>
      <c r="F12" s="280" t="s">
        <v>85</v>
      </c>
      <c r="G12" s="374"/>
      <c r="H12" s="375"/>
      <c r="I12" s="375"/>
      <c r="J12" s="375"/>
      <c r="K12" s="375"/>
      <c r="L12" s="375"/>
    </row>
    <row r="13" spans="1:12" s="27" customFormat="1" x14ac:dyDescent="0.2">
      <c r="A13" s="56"/>
      <c r="B13" s="56"/>
      <c r="C13" s="117"/>
      <c r="D13" s="56">
        <v>10</v>
      </c>
      <c r="E13" s="68">
        <f>E15+E26+E34</f>
        <v>0</v>
      </c>
      <c r="F13" s="278"/>
      <c r="G13" s="144"/>
      <c r="H13" s="144"/>
      <c r="I13" s="144"/>
      <c r="J13" s="144"/>
      <c r="K13" s="144"/>
      <c r="L13" s="372"/>
    </row>
    <row r="14" spans="1:12" s="27" customFormat="1" x14ac:dyDescent="0.2">
      <c r="A14" s="418" t="s">
        <v>1</v>
      </c>
      <c r="B14" s="418"/>
      <c r="C14" s="101"/>
      <c r="D14" s="44">
        <v>3</v>
      </c>
      <c r="E14" s="65">
        <f>E24+E44</f>
        <v>0</v>
      </c>
      <c r="F14" s="256"/>
      <c r="G14" s="144"/>
      <c r="H14" s="144"/>
      <c r="I14" s="144"/>
      <c r="J14" s="144"/>
      <c r="K14" s="144"/>
      <c r="L14" s="372"/>
    </row>
    <row r="15" spans="1:12" s="27" customFormat="1" x14ac:dyDescent="0.2">
      <c r="A15" s="45" t="s">
        <v>235</v>
      </c>
      <c r="B15" s="45" t="s">
        <v>31</v>
      </c>
      <c r="C15" s="99"/>
      <c r="D15" s="45">
        <v>2</v>
      </c>
      <c r="E15" s="59">
        <f>E16+E19+E22</f>
        <v>0</v>
      </c>
      <c r="F15" s="272"/>
      <c r="G15" s="144"/>
      <c r="H15" s="144"/>
      <c r="I15" s="144"/>
      <c r="J15" s="144"/>
      <c r="K15" s="144"/>
      <c r="L15" s="372"/>
    </row>
    <row r="16" spans="1:12" s="49" customFormat="1" ht="12.75" customHeight="1" x14ac:dyDescent="0.2">
      <c r="A16" s="523" t="s">
        <v>102</v>
      </c>
      <c r="B16" s="524"/>
      <c r="C16" s="74"/>
      <c r="D16" s="26">
        <v>1</v>
      </c>
      <c r="E16" s="66">
        <f>MIN(1,IF(G18,0.5,0)+IF(H18,1,0))</f>
        <v>0</v>
      </c>
      <c r="F16" s="534"/>
      <c r="G16" s="145"/>
      <c r="H16" s="145"/>
      <c r="I16" s="145"/>
      <c r="J16" s="145"/>
      <c r="K16" s="145"/>
      <c r="L16" s="376"/>
    </row>
    <row r="17" spans="1:12" ht="12" customHeight="1" x14ac:dyDescent="0.2">
      <c r="A17" s="430" t="s">
        <v>133</v>
      </c>
      <c r="B17" s="431"/>
      <c r="C17" s="469"/>
      <c r="D17" s="490"/>
      <c r="E17" s="490"/>
      <c r="F17" s="536"/>
    </row>
    <row r="18" spans="1:12" s="28" customFormat="1" ht="35.25" customHeight="1" x14ac:dyDescent="0.15">
      <c r="A18" s="461" t="s">
        <v>166</v>
      </c>
      <c r="B18" s="462"/>
      <c r="C18" s="470"/>
      <c r="D18" s="491"/>
      <c r="E18" s="491"/>
      <c r="F18" s="535"/>
      <c r="G18" s="143" t="b">
        <v>0</v>
      </c>
      <c r="H18" s="143" t="b">
        <v>0</v>
      </c>
      <c r="I18" s="143"/>
      <c r="J18" s="143"/>
      <c r="K18" s="143"/>
      <c r="L18" s="130"/>
    </row>
    <row r="19" spans="1:12" s="49" customFormat="1" ht="11.25" customHeight="1" x14ac:dyDescent="0.2">
      <c r="A19" s="523" t="s">
        <v>103</v>
      </c>
      <c r="B19" s="524"/>
      <c r="C19" s="74"/>
      <c r="D19" s="26">
        <v>0.5</v>
      </c>
      <c r="E19" s="66">
        <f>IF(G21,0.5,0)</f>
        <v>0</v>
      </c>
      <c r="F19" s="534"/>
      <c r="G19" s="145"/>
      <c r="H19" s="145"/>
      <c r="I19" s="145"/>
      <c r="J19" s="145"/>
      <c r="K19" s="145"/>
      <c r="L19" s="376"/>
    </row>
    <row r="20" spans="1:12" ht="12.75" customHeight="1" x14ac:dyDescent="0.2">
      <c r="A20" s="430" t="s">
        <v>134</v>
      </c>
      <c r="B20" s="431"/>
      <c r="C20" s="469"/>
      <c r="D20" s="490"/>
      <c r="E20" s="490"/>
      <c r="F20" s="536"/>
    </row>
    <row r="21" spans="1:12" s="28" customFormat="1" ht="23.25" customHeight="1" x14ac:dyDescent="0.15">
      <c r="A21" s="461" t="s">
        <v>313</v>
      </c>
      <c r="B21" s="462"/>
      <c r="C21" s="470"/>
      <c r="D21" s="491"/>
      <c r="E21" s="491"/>
      <c r="F21" s="535"/>
      <c r="G21" s="143" t="b">
        <v>0</v>
      </c>
      <c r="H21" s="143"/>
      <c r="I21" s="143"/>
      <c r="J21" s="143"/>
      <c r="K21" s="143"/>
      <c r="L21" s="130"/>
    </row>
    <row r="22" spans="1:12" s="49" customFormat="1" ht="11.25" customHeight="1" x14ac:dyDescent="0.2">
      <c r="A22" s="523" t="s">
        <v>139</v>
      </c>
      <c r="B22" s="524"/>
      <c r="C22" s="74"/>
      <c r="D22" s="26">
        <v>0.5</v>
      </c>
      <c r="E22" s="66">
        <f>IF(G23,0.5,0)</f>
        <v>0</v>
      </c>
      <c r="F22" s="534"/>
      <c r="G22" s="145"/>
      <c r="H22" s="145"/>
      <c r="I22" s="145"/>
      <c r="J22" s="145"/>
      <c r="K22" s="145"/>
      <c r="L22" s="376"/>
    </row>
    <row r="23" spans="1:12" s="28" customFormat="1" ht="23.25" customHeight="1" x14ac:dyDescent="0.2">
      <c r="A23" s="461" t="s">
        <v>176</v>
      </c>
      <c r="B23" s="462"/>
      <c r="C23" s="134"/>
      <c r="D23" s="26"/>
      <c r="E23" s="66"/>
      <c r="F23" s="535"/>
      <c r="G23" s="143" t="b">
        <v>0</v>
      </c>
      <c r="H23" s="143"/>
      <c r="I23" s="143"/>
      <c r="J23" s="143"/>
      <c r="K23" s="143"/>
      <c r="L23" s="130"/>
    </row>
    <row r="24" spans="1:12" s="27" customFormat="1" ht="12.75" customHeight="1" x14ac:dyDescent="0.2">
      <c r="A24" s="419" t="s">
        <v>260</v>
      </c>
      <c r="B24" s="419"/>
      <c r="C24" s="84"/>
      <c r="D24" s="63">
        <v>2</v>
      </c>
      <c r="E24" s="64">
        <f>IF(G25,0.5,0)+IF(H25,1.5,0)</f>
        <v>0</v>
      </c>
      <c r="F24" s="537"/>
      <c r="G24" s="144"/>
      <c r="H24" s="144"/>
      <c r="I24" s="144"/>
      <c r="J24" s="144"/>
      <c r="K24" s="144"/>
      <c r="L24" s="372"/>
    </row>
    <row r="25" spans="1:12" s="28" customFormat="1" ht="45" customHeight="1" x14ac:dyDescent="0.2">
      <c r="A25" s="427" t="s">
        <v>296</v>
      </c>
      <c r="B25" s="428"/>
      <c r="C25" s="133"/>
      <c r="D25" s="21"/>
      <c r="E25" s="69"/>
      <c r="F25" s="538"/>
      <c r="G25" s="143" t="b">
        <v>0</v>
      </c>
      <c r="H25" s="143" t="b">
        <v>0</v>
      </c>
      <c r="I25" s="143"/>
      <c r="J25" s="143"/>
      <c r="K25" s="143"/>
      <c r="L25" s="130"/>
    </row>
    <row r="26" spans="1:12" s="27" customFormat="1" ht="15.75" customHeight="1" x14ac:dyDescent="0.2">
      <c r="A26" s="45" t="s">
        <v>236</v>
      </c>
      <c r="B26" s="45" t="s">
        <v>33</v>
      </c>
      <c r="C26" s="99"/>
      <c r="D26" s="45">
        <v>3</v>
      </c>
      <c r="E26" s="59">
        <f>E27+E29+E32</f>
        <v>0</v>
      </c>
      <c r="F26" s="272"/>
      <c r="G26" s="144"/>
      <c r="H26" s="144"/>
      <c r="I26" s="144"/>
      <c r="J26" s="144"/>
      <c r="K26" s="144"/>
      <c r="L26" s="372"/>
    </row>
    <row r="27" spans="1:12" s="49" customFormat="1" ht="12.75" customHeight="1" x14ac:dyDescent="0.2">
      <c r="A27" s="523" t="s">
        <v>146</v>
      </c>
      <c r="B27" s="524"/>
      <c r="C27" s="74"/>
      <c r="D27" s="26">
        <v>1.5</v>
      </c>
      <c r="E27" s="66">
        <f>MIN(1.5,G27)</f>
        <v>0</v>
      </c>
      <c r="F27" s="534"/>
      <c r="G27" s="145">
        <f>IF(ISNUMBER(SEARCH("TRUE",G28)),"0.5","0")+IF(ISNUMBER(SEARCH("TRUE",H28)),"1","0")+IF(ISNUMBER(SEARCH("TRUE",I28)),"0.5","0")</f>
        <v>0</v>
      </c>
      <c r="H27" s="145"/>
      <c r="I27" s="145"/>
      <c r="J27" s="145"/>
      <c r="K27" s="145"/>
      <c r="L27" s="376"/>
    </row>
    <row r="28" spans="1:12" s="28" customFormat="1" ht="87.95" customHeight="1" x14ac:dyDescent="0.2">
      <c r="A28" s="461" t="s">
        <v>314</v>
      </c>
      <c r="B28" s="462"/>
      <c r="C28" s="134"/>
      <c r="D28" s="26"/>
      <c r="E28" s="66"/>
      <c r="F28" s="535"/>
      <c r="G28" s="143" t="b">
        <v>0</v>
      </c>
      <c r="H28" s="143" t="b">
        <v>0</v>
      </c>
      <c r="I28" s="143" t="b">
        <v>0</v>
      </c>
      <c r="J28" s="143"/>
      <c r="K28" s="143"/>
      <c r="L28" s="130"/>
    </row>
    <row r="29" spans="1:12" s="49" customFormat="1" ht="12.75" customHeight="1" x14ac:dyDescent="0.2">
      <c r="A29" s="523" t="s">
        <v>104</v>
      </c>
      <c r="B29" s="524"/>
      <c r="C29" s="74"/>
      <c r="D29" s="26">
        <v>1</v>
      </c>
      <c r="E29" s="66">
        <f>MIN(1,G29)</f>
        <v>0</v>
      </c>
      <c r="F29" s="534"/>
      <c r="G29" s="145">
        <f>IF(ISNUMBER(SEARCH("TRUE",G31)),"0.5","0")+IF(ISNUMBER(SEARCH("TRUE",H31)),"1","0")</f>
        <v>0</v>
      </c>
      <c r="H29" s="145"/>
      <c r="I29" s="145"/>
      <c r="J29" s="145"/>
      <c r="K29" s="145"/>
      <c r="L29" s="376"/>
    </row>
    <row r="30" spans="1:12" ht="12.75" customHeight="1" x14ac:dyDescent="0.2">
      <c r="A30" s="561" t="s">
        <v>134</v>
      </c>
      <c r="B30" s="562"/>
      <c r="C30" s="469"/>
      <c r="D30" s="490"/>
      <c r="E30" s="490"/>
      <c r="F30" s="536"/>
    </row>
    <row r="31" spans="1:12" s="28" customFormat="1" ht="38.1" customHeight="1" x14ac:dyDescent="0.15">
      <c r="A31" s="461" t="s">
        <v>167</v>
      </c>
      <c r="B31" s="462"/>
      <c r="C31" s="470"/>
      <c r="D31" s="491"/>
      <c r="E31" s="491"/>
      <c r="F31" s="535"/>
      <c r="G31" s="143" t="b">
        <v>0</v>
      </c>
      <c r="H31" s="143" t="b">
        <v>0</v>
      </c>
      <c r="I31" s="143"/>
      <c r="J31" s="143"/>
      <c r="K31" s="143"/>
      <c r="L31" s="130"/>
    </row>
    <row r="32" spans="1:12" s="49" customFormat="1" ht="13.5" customHeight="1" x14ac:dyDescent="0.2">
      <c r="A32" s="523" t="s">
        <v>147</v>
      </c>
      <c r="B32" s="524"/>
      <c r="C32" s="74"/>
      <c r="D32" s="26">
        <v>0.5</v>
      </c>
      <c r="E32" s="66">
        <f>IF(G33,0.5,0)</f>
        <v>0</v>
      </c>
      <c r="F32" s="534"/>
      <c r="G32" s="145"/>
      <c r="H32" s="145"/>
      <c r="I32" s="145"/>
      <c r="J32" s="145"/>
      <c r="K32" s="145"/>
      <c r="L32" s="376"/>
    </row>
    <row r="33" spans="1:12" s="28" customFormat="1" ht="20.100000000000001" customHeight="1" x14ac:dyDescent="0.2">
      <c r="A33" s="461" t="s">
        <v>149</v>
      </c>
      <c r="B33" s="462"/>
      <c r="C33" s="134"/>
      <c r="D33" s="26"/>
      <c r="E33" s="66"/>
      <c r="F33" s="535"/>
      <c r="G33" s="143" t="b">
        <v>0</v>
      </c>
      <c r="H33" s="143"/>
      <c r="I33" s="143"/>
      <c r="J33" s="143"/>
      <c r="K33" s="143"/>
      <c r="L33" s="130"/>
    </row>
    <row r="34" spans="1:12" s="27" customFormat="1" x14ac:dyDescent="0.2">
      <c r="A34" s="45" t="s">
        <v>237</v>
      </c>
      <c r="B34" s="45" t="s">
        <v>35</v>
      </c>
      <c r="C34" s="99"/>
      <c r="D34" s="45">
        <v>5</v>
      </c>
      <c r="E34" s="59">
        <f>E35+E38+E40+E42</f>
        <v>0</v>
      </c>
      <c r="F34" s="272"/>
      <c r="G34" s="144"/>
      <c r="H34" s="144"/>
      <c r="I34" s="144"/>
      <c r="J34" s="144"/>
      <c r="K34" s="144"/>
      <c r="L34" s="372"/>
    </row>
    <row r="35" spans="1:12" s="49" customFormat="1" ht="12.75" customHeight="1" x14ac:dyDescent="0.2">
      <c r="A35" s="523" t="s">
        <v>377</v>
      </c>
      <c r="B35" s="524"/>
      <c r="C35" s="74"/>
      <c r="D35" s="26">
        <v>2</v>
      </c>
      <c r="E35" s="66">
        <f>IF(G36,1,0)+IF(H36,1,0)</f>
        <v>0</v>
      </c>
      <c r="F35" s="534"/>
      <c r="G35" s="145"/>
      <c r="H35" s="145"/>
      <c r="I35" s="145"/>
      <c r="J35" s="145"/>
      <c r="K35" s="145"/>
      <c r="L35" s="376"/>
    </row>
    <row r="36" spans="1:12" s="28" customFormat="1" ht="38.1" customHeight="1" x14ac:dyDescent="0.2">
      <c r="A36" s="461" t="s">
        <v>168</v>
      </c>
      <c r="B36" s="462"/>
      <c r="C36" s="134"/>
      <c r="D36" s="26"/>
      <c r="E36" s="66"/>
      <c r="F36" s="535"/>
      <c r="G36" s="143" t="b">
        <v>0</v>
      </c>
      <c r="H36" s="143" t="b">
        <v>0</v>
      </c>
      <c r="I36" s="143"/>
      <c r="J36" s="143"/>
      <c r="K36" s="143"/>
      <c r="L36" s="130"/>
    </row>
    <row r="37" spans="1:12" s="28" customFormat="1" ht="12" customHeight="1" x14ac:dyDescent="0.2">
      <c r="A37" s="122"/>
      <c r="B37" s="122"/>
      <c r="C37" s="123"/>
      <c r="D37" s="120"/>
      <c r="E37" s="124"/>
      <c r="F37" s="125"/>
      <c r="G37" s="143"/>
      <c r="H37" s="143"/>
      <c r="I37" s="143"/>
      <c r="J37" s="143"/>
      <c r="K37" s="143"/>
      <c r="L37" s="130"/>
    </row>
    <row r="38" spans="1:12" s="49" customFormat="1" ht="12.75" customHeight="1" x14ac:dyDescent="0.2">
      <c r="A38" s="570" t="s">
        <v>378</v>
      </c>
      <c r="B38" s="570"/>
      <c r="C38" s="99"/>
      <c r="D38" s="26">
        <v>0.5</v>
      </c>
      <c r="E38" s="66">
        <f>IF(G39,0.5,0)</f>
        <v>0</v>
      </c>
      <c r="F38" s="569"/>
      <c r="G38" s="145"/>
      <c r="H38" s="145"/>
      <c r="I38" s="145"/>
      <c r="J38" s="145"/>
      <c r="K38" s="145"/>
      <c r="L38" s="376"/>
    </row>
    <row r="39" spans="1:12" s="28" customFormat="1" ht="25.5" customHeight="1" x14ac:dyDescent="0.2">
      <c r="A39" s="522" t="s">
        <v>148</v>
      </c>
      <c r="B39" s="522"/>
      <c r="C39" s="137"/>
      <c r="D39" s="26"/>
      <c r="E39" s="66"/>
      <c r="F39" s="569"/>
      <c r="G39" s="143" t="b">
        <v>0</v>
      </c>
      <c r="H39" s="143"/>
      <c r="I39" s="143"/>
      <c r="J39" s="143"/>
      <c r="K39" s="143"/>
      <c r="L39" s="130"/>
    </row>
    <row r="40" spans="1:12" s="49" customFormat="1" ht="12" customHeight="1" x14ac:dyDescent="0.2">
      <c r="A40" s="523" t="s">
        <v>105</v>
      </c>
      <c r="B40" s="524"/>
      <c r="C40" s="74"/>
      <c r="D40" s="26">
        <v>2</v>
      </c>
      <c r="E40" s="66">
        <f>C41</f>
        <v>0</v>
      </c>
      <c r="F40" s="534"/>
      <c r="G40" s="145"/>
      <c r="H40" s="145"/>
      <c r="I40" s="145"/>
      <c r="J40" s="145"/>
      <c r="K40" s="145"/>
      <c r="L40" s="376"/>
    </row>
    <row r="41" spans="1:12" s="72" customFormat="1" ht="39.75" customHeight="1" x14ac:dyDescent="0.2">
      <c r="A41" s="502" t="s">
        <v>170</v>
      </c>
      <c r="B41" s="503"/>
      <c r="C41" s="132">
        <v>0</v>
      </c>
      <c r="D41" s="160"/>
      <c r="E41" s="161"/>
      <c r="F41" s="535"/>
      <c r="G41" s="159"/>
      <c r="H41" s="159"/>
      <c r="I41" s="159"/>
      <c r="J41" s="159"/>
      <c r="K41" s="159"/>
      <c r="L41" s="163"/>
    </row>
    <row r="42" spans="1:12" s="49" customFormat="1" ht="12" customHeight="1" x14ac:dyDescent="0.2">
      <c r="A42" s="523" t="s">
        <v>379</v>
      </c>
      <c r="B42" s="524"/>
      <c r="C42" s="74"/>
      <c r="D42" s="26">
        <v>0.5</v>
      </c>
      <c r="E42" s="66">
        <f>IF(G43,0.5,0)</f>
        <v>0</v>
      </c>
      <c r="F42" s="534"/>
      <c r="G42" s="145"/>
      <c r="H42" s="145"/>
      <c r="I42" s="145"/>
      <c r="J42" s="145"/>
      <c r="K42" s="145"/>
      <c r="L42" s="376"/>
    </row>
    <row r="43" spans="1:12" s="28" customFormat="1" ht="22.5" customHeight="1" x14ac:dyDescent="0.2">
      <c r="A43" s="461" t="s">
        <v>150</v>
      </c>
      <c r="B43" s="462"/>
      <c r="C43" s="134"/>
      <c r="D43" s="26"/>
      <c r="E43" s="66"/>
      <c r="F43" s="535"/>
      <c r="G43" s="143" t="b">
        <v>0</v>
      </c>
      <c r="H43" s="143"/>
      <c r="I43" s="143"/>
      <c r="J43" s="143"/>
      <c r="K43" s="143"/>
      <c r="L43" s="130"/>
    </row>
    <row r="44" spans="1:12" s="27" customFormat="1" ht="29.25" customHeight="1" x14ac:dyDescent="0.2">
      <c r="A44" s="419" t="s">
        <v>320</v>
      </c>
      <c r="B44" s="419"/>
      <c r="C44" s="84"/>
      <c r="D44" s="63">
        <v>1</v>
      </c>
      <c r="E44" s="64">
        <f>IF(OR(C45="",C46="",AND(C45=0,C46=0)),0,IF(C45=0,IF(C46&lt;750,IF(C46&lt;10,1,0.5),0),0))</f>
        <v>0</v>
      </c>
      <c r="F44" s="537"/>
      <c r="G44" s="144"/>
      <c r="H44" s="144"/>
      <c r="I44" s="144"/>
      <c r="J44" s="144"/>
      <c r="K44" s="144"/>
      <c r="L44" s="372"/>
    </row>
    <row r="45" spans="1:12" s="28" customFormat="1" ht="12" customHeight="1" x14ac:dyDescent="0.2">
      <c r="A45" s="552" t="s">
        <v>185</v>
      </c>
      <c r="B45" s="552"/>
      <c r="C45" s="131">
        <v>0</v>
      </c>
      <c r="D45" s="549"/>
      <c r="E45" s="549"/>
      <c r="F45" s="553"/>
      <c r="G45" s="143"/>
      <c r="H45" s="143"/>
      <c r="I45" s="143"/>
      <c r="J45" s="143"/>
      <c r="K45" s="143"/>
      <c r="L45" s="130"/>
    </row>
    <row r="46" spans="1:12" s="28" customFormat="1" ht="13.5" customHeight="1" x14ac:dyDescent="0.2">
      <c r="A46" s="552"/>
      <c r="B46" s="552"/>
      <c r="C46" s="131">
        <v>0</v>
      </c>
      <c r="D46" s="551"/>
      <c r="E46" s="551"/>
      <c r="F46" s="538"/>
      <c r="G46" s="143"/>
      <c r="H46" s="143"/>
      <c r="I46" s="143"/>
      <c r="J46" s="143"/>
      <c r="K46" s="143"/>
      <c r="L46" s="130"/>
    </row>
    <row r="47" spans="1:12" x14ac:dyDescent="0.2">
      <c r="A47" s="20"/>
      <c r="B47" s="20"/>
      <c r="C47" s="82"/>
      <c r="D47" s="20"/>
      <c r="E47" s="70"/>
      <c r="F47" s="20"/>
    </row>
    <row r="48" spans="1:12" s="91" customFormat="1" ht="24.75" customHeight="1" x14ac:dyDescent="0.2">
      <c r="A48" s="112">
        <v>4.2</v>
      </c>
      <c r="B48" s="113" t="s">
        <v>37</v>
      </c>
      <c r="C48" s="118" t="s">
        <v>174</v>
      </c>
      <c r="D48" s="118" t="s">
        <v>189</v>
      </c>
      <c r="E48" s="115" t="s">
        <v>87</v>
      </c>
      <c r="F48" s="280" t="s">
        <v>85</v>
      </c>
      <c r="G48" s="377"/>
      <c r="H48" s="377"/>
      <c r="I48" s="377"/>
      <c r="J48" s="377"/>
      <c r="K48" s="377"/>
      <c r="L48" s="375"/>
    </row>
    <row r="49" spans="1:12" s="27" customFormat="1" x14ac:dyDescent="0.2">
      <c r="A49" s="56"/>
      <c r="B49" s="56"/>
      <c r="C49" s="117"/>
      <c r="D49" s="56">
        <v>10</v>
      </c>
      <c r="E49" s="68">
        <f>SUM(E50+E61+E66)</f>
        <v>0</v>
      </c>
      <c r="F49" s="278"/>
      <c r="G49" s="144"/>
      <c r="H49" s="144"/>
      <c r="I49" s="144"/>
      <c r="J49" s="144"/>
      <c r="K49" s="144"/>
      <c r="L49" s="372"/>
    </row>
    <row r="50" spans="1:12" s="27" customFormat="1" x14ac:dyDescent="0.2">
      <c r="A50" s="45" t="s">
        <v>264</v>
      </c>
      <c r="B50" s="45" t="s">
        <v>39</v>
      </c>
      <c r="C50" s="99"/>
      <c r="D50" s="45">
        <v>6</v>
      </c>
      <c r="E50" s="59">
        <f>MIN(6,E51+E56+E59)</f>
        <v>0</v>
      </c>
      <c r="F50" s="272"/>
      <c r="G50" s="144"/>
      <c r="H50" s="144"/>
      <c r="I50" s="372"/>
      <c r="J50" s="144"/>
      <c r="K50" s="144"/>
      <c r="L50" s="372"/>
    </row>
    <row r="51" spans="1:12" s="49" customFormat="1" ht="12.75" customHeight="1" x14ac:dyDescent="0.2">
      <c r="A51" s="523" t="s">
        <v>380</v>
      </c>
      <c r="B51" s="524"/>
      <c r="C51" s="74"/>
      <c r="D51" s="26">
        <v>2</v>
      </c>
      <c r="E51" s="66">
        <f>G51+H51</f>
        <v>0</v>
      </c>
      <c r="F51" s="563"/>
      <c r="G51" s="145">
        <f>IFERROR((C52/C53*1.5),0)</f>
        <v>0</v>
      </c>
      <c r="H51" s="145">
        <f>IF(J55,0.5,C54*0.5/100)</f>
        <v>0</v>
      </c>
      <c r="K51" s="145"/>
      <c r="L51" s="376"/>
    </row>
    <row r="52" spans="1:12" s="72" customFormat="1" ht="33" customHeight="1" x14ac:dyDescent="0.2">
      <c r="A52" s="444" t="s">
        <v>479</v>
      </c>
      <c r="B52" s="445"/>
      <c r="C52" s="132">
        <v>0</v>
      </c>
      <c r="D52" s="542"/>
      <c r="E52" s="542"/>
      <c r="F52" s="564"/>
      <c r="G52" s="159"/>
      <c r="H52" s="159"/>
      <c r="I52" s="159"/>
      <c r="J52" s="159" t="b">
        <v>0</v>
      </c>
      <c r="K52" s="159"/>
      <c r="L52" s="163"/>
    </row>
    <row r="53" spans="1:12" s="72" customFormat="1" ht="9.75" customHeight="1" x14ac:dyDescent="0.2">
      <c r="A53" s="446"/>
      <c r="B53" s="447"/>
      <c r="C53" s="132">
        <v>0</v>
      </c>
      <c r="D53" s="543"/>
      <c r="E53" s="543"/>
      <c r="F53" s="564"/>
      <c r="G53" s="159"/>
      <c r="H53" s="159"/>
      <c r="I53" s="159"/>
      <c r="J53" s="159"/>
      <c r="K53" s="159"/>
      <c r="L53" s="163"/>
    </row>
    <row r="54" spans="1:12" s="72" customFormat="1" ht="9.75" customHeight="1" x14ac:dyDescent="0.2">
      <c r="A54" s="446"/>
      <c r="B54" s="447"/>
      <c r="C54" s="132">
        <v>0</v>
      </c>
      <c r="D54" s="543"/>
      <c r="E54" s="543"/>
      <c r="F54" s="564"/>
      <c r="G54" s="159"/>
      <c r="H54" s="159"/>
      <c r="I54" s="159"/>
      <c r="J54" s="159"/>
      <c r="K54" s="159"/>
      <c r="L54" s="163"/>
    </row>
    <row r="55" spans="1:12" s="72" customFormat="1" ht="9.75" customHeight="1" x14ac:dyDescent="0.2">
      <c r="A55" s="446"/>
      <c r="B55" s="447"/>
      <c r="C55" s="132"/>
      <c r="D55" s="543"/>
      <c r="E55" s="543"/>
      <c r="F55" s="564"/>
      <c r="G55" s="159"/>
      <c r="H55" s="159"/>
      <c r="I55" s="159"/>
      <c r="J55" s="159" t="b">
        <v>0</v>
      </c>
      <c r="K55" s="159"/>
      <c r="L55" s="163"/>
    </row>
    <row r="56" spans="1:12" s="72" customFormat="1" ht="9.75" customHeight="1" x14ac:dyDescent="0.2">
      <c r="A56" s="523" t="s">
        <v>481</v>
      </c>
      <c r="B56" s="524"/>
      <c r="C56" s="74"/>
      <c r="D56" s="26">
        <v>4</v>
      </c>
      <c r="E56" s="66">
        <f>G56+H56</f>
        <v>0</v>
      </c>
      <c r="F56" s="564"/>
      <c r="G56" s="144">
        <f>(IF(AND(C57&gt;=15,C57&lt;35),0.5,IF(AND(C57&gt;=35,C57&lt;55),1,IF(AND(C57&gt;=55,C57&lt;75),2,IF(C57&gt;=75,3,0)))))</f>
        <v>0</v>
      </c>
      <c r="H56" s="145">
        <f>IF(J57,1,0)</f>
        <v>0</v>
      </c>
      <c r="I56" s="159"/>
      <c r="J56" s="159"/>
      <c r="K56" s="159"/>
      <c r="L56" s="163"/>
    </row>
    <row r="57" spans="1:12" s="72" customFormat="1" ht="30.75" customHeight="1" x14ac:dyDescent="0.2">
      <c r="A57" s="555" t="s">
        <v>480</v>
      </c>
      <c r="B57" s="556"/>
      <c r="C57" s="132">
        <v>0</v>
      </c>
      <c r="D57" s="543"/>
      <c r="E57" s="543"/>
      <c r="F57" s="564"/>
      <c r="G57" s="159"/>
      <c r="H57" s="159"/>
      <c r="I57" s="159"/>
      <c r="J57" s="159" t="b">
        <v>0</v>
      </c>
      <c r="K57" s="159"/>
      <c r="L57" s="163"/>
    </row>
    <row r="58" spans="1:12" s="72" customFormat="1" ht="10.5" customHeight="1" x14ac:dyDescent="0.2">
      <c r="A58" s="557"/>
      <c r="B58" s="558"/>
      <c r="C58" s="132"/>
      <c r="D58" s="544"/>
      <c r="E58" s="544"/>
      <c r="F58" s="565"/>
      <c r="G58" s="159"/>
      <c r="H58" s="159"/>
      <c r="I58" s="159"/>
      <c r="J58" s="159"/>
      <c r="K58" s="159"/>
      <c r="L58" s="163"/>
    </row>
    <row r="59" spans="1:12" s="49" customFormat="1" ht="12" customHeight="1" x14ac:dyDescent="0.2">
      <c r="A59" s="523" t="s">
        <v>381</v>
      </c>
      <c r="B59" s="524"/>
      <c r="C59" s="74"/>
      <c r="D59" s="26">
        <v>1</v>
      </c>
      <c r="E59" s="66">
        <f>MIN(1,G59)</f>
        <v>0</v>
      </c>
      <c r="F59" s="563"/>
      <c r="G59" s="145">
        <f>IF(G60,0.5,0)+IF(H60,0.5,0)+IF(I60,0.5,0)+IF(J60,0.5,0)+IF(K60,1,0)</f>
        <v>0</v>
      </c>
      <c r="H59" s="145"/>
      <c r="I59" s="145"/>
      <c r="J59" s="145"/>
      <c r="K59" s="145"/>
      <c r="L59" s="376"/>
    </row>
    <row r="60" spans="1:12" s="28" customFormat="1" ht="75.75" customHeight="1" x14ac:dyDescent="0.2">
      <c r="A60" s="461" t="s">
        <v>177</v>
      </c>
      <c r="B60" s="462"/>
      <c r="C60" s="134"/>
      <c r="D60" s="26"/>
      <c r="E60" s="66"/>
      <c r="F60" s="565"/>
      <c r="G60" s="143" t="b">
        <v>0</v>
      </c>
      <c r="H60" s="143" t="b">
        <v>0</v>
      </c>
      <c r="I60" s="143" t="b">
        <v>0</v>
      </c>
      <c r="J60" s="143" t="b">
        <v>0</v>
      </c>
      <c r="K60" s="143" t="b">
        <v>0</v>
      </c>
      <c r="L60" s="130"/>
    </row>
    <row r="61" spans="1:12" s="27" customFormat="1" x14ac:dyDescent="0.2">
      <c r="A61" s="46" t="s">
        <v>265</v>
      </c>
      <c r="B61" s="55" t="s">
        <v>41</v>
      </c>
      <c r="C61" s="99"/>
      <c r="D61" s="45">
        <v>2</v>
      </c>
      <c r="E61" s="59">
        <f>E62+E64</f>
        <v>0</v>
      </c>
      <c r="F61" s="272"/>
      <c r="G61" s="144"/>
      <c r="H61" s="144"/>
      <c r="I61" s="144"/>
      <c r="J61" s="144"/>
      <c r="K61" s="144"/>
      <c r="L61" s="372"/>
    </row>
    <row r="62" spans="1:12" s="49" customFormat="1" ht="12" customHeight="1" x14ac:dyDescent="0.2">
      <c r="A62" s="523" t="s">
        <v>137</v>
      </c>
      <c r="B62" s="524"/>
      <c r="C62" s="74"/>
      <c r="D62" s="26">
        <v>0.5</v>
      </c>
      <c r="E62" s="66">
        <f>IF(G63,0.5,0)</f>
        <v>0</v>
      </c>
      <c r="F62" s="563"/>
      <c r="G62" s="145"/>
      <c r="H62" s="145"/>
      <c r="I62" s="145"/>
      <c r="J62" s="145"/>
      <c r="K62" s="145"/>
      <c r="L62" s="376"/>
    </row>
    <row r="63" spans="1:12" s="28" customFormat="1" ht="56.1" customHeight="1" x14ac:dyDescent="0.2">
      <c r="A63" s="461" t="s">
        <v>315</v>
      </c>
      <c r="B63" s="462"/>
      <c r="C63" s="134"/>
      <c r="D63" s="26"/>
      <c r="E63" s="66"/>
      <c r="F63" s="565"/>
      <c r="G63" s="143" t="b">
        <v>0</v>
      </c>
      <c r="H63" s="143"/>
      <c r="I63" s="143"/>
      <c r="J63" s="143"/>
      <c r="K63" s="143"/>
      <c r="L63" s="130"/>
    </row>
    <row r="64" spans="1:12" s="49" customFormat="1" ht="12.75" customHeight="1" x14ac:dyDescent="0.2">
      <c r="A64" s="523" t="s">
        <v>106</v>
      </c>
      <c r="B64" s="524"/>
      <c r="C64" s="74"/>
      <c r="D64" s="26">
        <v>1.5</v>
      </c>
      <c r="E64" s="66">
        <f>IF(G65,1.5,0)</f>
        <v>0</v>
      </c>
      <c r="F64" s="563"/>
      <c r="G64" s="145"/>
      <c r="H64" s="145"/>
      <c r="I64" s="145"/>
      <c r="J64" s="145"/>
      <c r="K64" s="145"/>
      <c r="L64" s="376"/>
    </row>
    <row r="65" spans="1:12" s="28" customFormat="1" ht="24.75" customHeight="1" x14ac:dyDescent="0.2">
      <c r="A65" s="461" t="s">
        <v>178</v>
      </c>
      <c r="B65" s="462"/>
      <c r="C65" s="134"/>
      <c r="D65" s="26"/>
      <c r="E65" s="66"/>
      <c r="F65" s="565"/>
      <c r="G65" s="143" t="b">
        <v>0</v>
      </c>
      <c r="H65" s="143"/>
      <c r="I65" s="143"/>
      <c r="J65" s="143"/>
      <c r="K65" s="143"/>
      <c r="L65" s="130"/>
    </row>
    <row r="66" spans="1:12" s="27" customFormat="1" x14ac:dyDescent="0.2">
      <c r="A66" s="45" t="s">
        <v>266</v>
      </c>
      <c r="B66" s="45" t="s">
        <v>43</v>
      </c>
      <c r="C66" s="99"/>
      <c r="D66" s="45">
        <v>2</v>
      </c>
      <c r="E66" s="59">
        <f>MIN(2,G67+G69)</f>
        <v>0</v>
      </c>
      <c r="F66" s="272"/>
      <c r="G66" s="144"/>
      <c r="H66" s="144"/>
      <c r="I66" s="144"/>
      <c r="J66" s="144"/>
      <c r="K66" s="144"/>
      <c r="L66" s="372"/>
    </row>
    <row r="67" spans="1:12" s="49" customFormat="1" ht="12.75" customHeight="1" x14ac:dyDescent="0.2">
      <c r="A67" s="523" t="s">
        <v>138</v>
      </c>
      <c r="B67" s="524"/>
      <c r="C67" s="74"/>
      <c r="D67" s="26">
        <v>3</v>
      </c>
      <c r="E67" s="66">
        <f>IF(G68,1,0)+IF(H68,0.5,0)+IF(I68,1,0)+IF(J68,0.25,0)+IF(K68,0.25,0)</f>
        <v>0</v>
      </c>
      <c r="F67" s="563"/>
      <c r="G67" s="145">
        <f>IF(ISNUMBER(SEARCH("TRUE",G68)),"1","0")+IF(ISNUMBER(SEARCH("TRUE",H68)),"0.5","0")+IF(ISNUMBER(SEARCH("TRUE",I68)),"1","0")+IF(ISNUMBER(SEARCH("TRUE",J68)),"0.25","0")+IF(ISNUMBER(SEARCH("TRUE",K68)),"0.25","0")</f>
        <v>0</v>
      </c>
      <c r="H67" s="145"/>
      <c r="I67" s="145"/>
      <c r="J67" s="145"/>
      <c r="K67" s="145"/>
      <c r="L67" s="376"/>
    </row>
    <row r="68" spans="1:12" s="28" customFormat="1" ht="75.75" customHeight="1" x14ac:dyDescent="0.2">
      <c r="A68" s="461" t="s">
        <v>151</v>
      </c>
      <c r="B68" s="462"/>
      <c r="C68" s="134"/>
      <c r="D68" s="26"/>
      <c r="E68" s="66"/>
      <c r="F68" s="565"/>
      <c r="G68" s="143" t="b">
        <v>0</v>
      </c>
      <c r="H68" s="143" t="b">
        <v>0</v>
      </c>
      <c r="I68" s="143" t="b">
        <v>0</v>
      </c>
      <c r="J68" s="143" t="b">
        <v>0</v>
      </c>
      <c r="K68" s="143" t="b">
        <v>0</v>
      </c>
      <c r="L68" s="130"/>
    </row>
    <row r="69" spans="1:12" s="49" customFormat="1" ht="12.75" customHeight="1" x14ac:dyDescent="0.2">
      <c r="A69" s="523" t="s">
        <v>382</v>
      </c>
      <c r="B69" s="524"/>
      <c r="C69" s="74"/>
      <c r="D69" s="26">
        <v>1</v>
      </c>
      <c r="E69" s="66">
        <f>IF(G70,0.5,0)+IF(H70,1,0)</f>
        <v>0</v>
      </c>
      <c r="F69" s="563"/>
      <c r="G69" s="145">
        <f>MIN(1,(IF(ISNUMBER(SEARCH("TRUE",G70)),"0.5","0")+IF(ISNUMBER(SEARCH("TRUE",H70)),"1","0")))</f>
        <v>0</v>
      </c>
      <c r="H69" s="145"/>
      <c r="I69" s="145"/>
      <c r="J69" s="145"/>
      <c r="K69" s="145"/>
      <c r="L69" s="376"/>
    </row>
    <row r="70" spans="1:12" s="28" customFormat="1" ht="26.25" customHeight="1" x14ac:dyDescent="0.2">
      <c r="A70" s="461" t="s">
        <v>152</v>
      </c>
      <c r="B70" s="462"/>
      <c r="C70" s="134"/>
      <c r="D70" s="26"/>
      <c r="E70" s="66"/>
      <c r="F70" s="565"/>
      <c r="G70" s="143" t="b">
        <v>0</v>
      </c>
      <c r="H70" s="143" t="b">
        <v>0</v>
      </c>
      <c r="I70" s="143"/>
      <c r="J70" s="143"/>
      <c r="K70" s="143"/>
      <c r="L70" s="130"/>
    </row>
    <row r="71" spans="1:12" ht="12" customHeight="1" x14ac:dyDescent="0.2">
      <c r="A71" s="20"/>
      <c r="B71" s="20"/>
      <c r="C71" s="82"/>
      <c r="D71" s="20"/>
      <c r="E71" s="70"/>
      <c r="F71" s="20"/>
    </row>
    <row r="72" spans="1:12" s="91" customFormat="1" ht="24" customHeight="1" x14ac:dyDescent="0.2">
      <c r="A72" s="112">
        <v>4.3</v>
      </c>
      <c r="B72" s="113" t="s">
        <v>45</v>
      </c>
      <c r="C72" s="118" t="s">
        <v>174</v>
      </c>
      <c r="D72" s="118" t="s">
        <v>189</v>
      </c>
      <c r="E72" s="115" t="s">
        <v>87</v>
      </c>
      <c r="F72" s="280" t="s">
        <v>85</v>
      </c>
      <c r="G72" s="377"/>
      <c r="H72" s="377"/>
      <c r="I72" s="377"/>
      <c r="J72" s="377"/>
      <c r="K72" s="377"/>
      <c r="L72" s="375"/>
    </row>
    <row r="73" spans="1:12" s="27" customFormat="1" x14ac:dyDescent="0.2">
      <c r="A73" s="56"/>
      <c r="B73" s="56"/>
      <c r="C73" s="117"/>
      <c r="D73" s="56">
        <v>10</v>
      </c>
      <c r="E73" s="68">
        <f>E75+E84+E92+E101</f>
        <v>0</v>
      </c>
      <c r="F73" s="278"/>
      <c r="G73" s="144"/>
      <c r="H73" s="144"/>
      <c r="I73" s="144"/>
      <c r="J73" s="144"/>
      <c r="K73" s="144"/>
      <c r="L73" s="372"/>
    </row>
    <row r="74" spans="1:12" s="27" customFormat="1" ht="12.75" customHeight="1" x14ac:dyDescent="0.2">
      <c r="A74" s="418" t="s">
        <v>1</v>
      </c>
      <c r="B74" s="418"/>
      <c r="C74" s="101"/>
      <c r="D74" s="119">
        <f>SUM(D80,D82,D99,D105,D107)</f>
        <v>7</v>
      </c>
      <c r="E74" s="86">
        <f>E80+E82+E99+E105+E107</f>
        <v>0</v>
      </c>
      <c r="F74" s="254"/>
      <c r="G74" s="144"/>
      <c r="H74" s="144"/>
      <c r="I74" s="144"/>
      <c r="J74" s="144"/>
      <c r="K74" s="144"/>
      <c r="L74" s="372"/>
    </row>
    <row r="75" spans="1:12" s="27" customFormat="1" x14ac:dyDescent="0.2">
      <c r="A75" s="45" t="s">
        <v>238</v>
      </c>
      <c r="B75" s="45" t="s">
        <v>47</v>
      </c>
      <c r="C75" s="99"/>
      <c r="D75" s="45">
        <v>3</v>
      </c>
      <c r="E75" s="59">
        <f>E76+E78</f>
        <v>0</v>
      </c>
      <c r="F75" s="272"/>
      <c r="G75" s="144"/>
      <c r="H75" s="144"/>
      <c r="I75" s="144"/>
      <c r="J75" s="144"/>
      <c r="K75" s="144"/>
      <c r="L75" s="372"/>
    </row>
    <row r="76" spans="1:12" s="49" customFormat="1" ht="12" customHeight="1" x14ac:dyDescent="0.2">
      <c r="A76" s="523" t="s">
        <v>153</v>
      </c>
      <c r="B76" s="524"/>
      <c r="C76" s="74"/>
      <c r="D76" s="26">
        <v>2</v>
      </c>
      <c r="E76" s="66">
        <f>IF(G77,1,0)+IF(H77,1,0)</f>
        <v>0</v>
      </c>
      <c r="F76" s="563"/>
      <c r="G76" s="145"/>
      <c r="H76" s="145"/>
      <c r="I76" s="145"/>
      <c r="J76" s="145"/>
      <c r="K76" s="145"/>
      <c r="L76" s="376"/>
    </row>
    <row r="77" spans="1:12" s="28" customFormat="1" ht="34.5" customHeight="1" x14ac:dyDescent="0.2">
      <c r="A77" s="461" t="s">
        <v>383</v>
      </c>
      <c r="B77" s="462"/>
      <c r="C77" s="134"/>
      <c r="D77" s="26"/>
      <c r="E77" s="66"/>
      <c r="F77" s="565"/>
      <c r="G77" s="143" t="b">
        <v>0</v>
      </c>
      <c r="H77" s="143" t="b">
        <v>0</v>
      </c>
      <c r="I77" s="143"/>
      <c r="J77" s="143"/>
      <c r="K77" s="143"/>
      <c r="L77" s="130"/>
    </row>
    <row r="78" spans="1:12" s="49" customFormat="1" ht="12.75" customHeight="1" x14ac:dyDescent="0.2">
      <c r="A78" s="523" t="s">
        <v>107</v>
      </c>
      <c r="B78" s="524"/>
      <c r="C78" s="74"/>
      <c r="D78" s="26">
        <v>1</v>
      </c>
      <c r="E78" s="66">
        <f>IF(G79,1,0)</f>
        <v>0</v>
      </c>
      <c r="F78" s="563"/>
      <c r="G78" s="145"/>
      <c r="H78" s="145"/>
      <c r="I78" s="145"/>
      <c r="J78" s="145"/>
      <c r="K78" s="145"/>
      <c r="L78" s="376"/>
    </row>
    <row r="79" spans="1:12" s="28" customFormat="1" ht="36" customHeight="1" x14ac:dyDescent="0.2">
      <c r="A79" s="461" t="s">
        <v>267</v>
      </c>
      <c r="B79" s="462"/>
      <c r="C79" s="134"/>
      <c r="D79" s="26"/>
      <c r="E79" s="66"/>
      <c r="F79" s="565"/>
      <c r="G79" s="143" t="b">
        <v>0</v>
      </c>
      <c r="H79" s="143"/>
      <c r="I79" s="143"/>
      <c r="J79" s="143"/>
      <c r="K79" s="143"/>
      <c r="L79" s="130"/>
    </row>
    <row r="80" spans="1:12" s="27" customFormat="1" ht="24" customHeight="1" x14ac:dyDescent="0.2">
      <c r="A80" s="419" t="s">
        <v>268</v>
      </c>
      <c r="B80" s="419"/>
      <c r="C80" s="84"/>
      <c r="D80" s="63">
        <v>2</v>
      </c>
      <c r="E80" s="64">
        <f>IF(G81,2,0)</f>
        <v>0</v>
      </c>
      <c r="F80" s="537"/>
      <c r="G80" s="144"/>
      <c r="H80" s="144"/>
      <c r="I80" s="144"/>
      <c r="J80" s="144"/>
      <c r="K80" s="144"/>
      <c r="L80" s="372"/>
    </row>
    <row r="81" spans="1:12" s="28" customFormat="1" ht="33" customHeight="1" x14ac:dyDescent="0.2">
      <c r="A81" s="427" t="s">
        <v>169</v>
      </c>
      <c r="B81" s="428"/>
      <c r="C81" s="133"/>
      <c r="D81" s="21"/>
      <c r="E81" s="69"/>
      <c r="F81" s="538"/>
      <c r="G81" s="143" t="b">
        <v>0</v>
      </c>
      <c r="H81" s="143"/>
      <c r="I81" s="143"/>
      <c r="J81" s="143"/>
      <c r="K81" s="143"/>
      <c r="L81" s="130"/>
    </row>
    <row r="82" spans="1:12" s="28" customFormat="1" ht="24" customHeight="1" x14ac:dyDescent="0.2">
      <c r="A82" s="419" t="s">
        <v>297</v>
      </c>
      <c r="B82" s="419"/>
      <c r="C82" s="133"/>
      <c r="D82" s="21">
        <v>1</v>
      </c>
      <c r="E82" s="64">
        <f>IF(G83,1,0)</f>
        <v>0</v>
      </c>
      <c r="F82" s="194"/>
      <c r="G82" s="143"/>
      <c r="H82" s="143"/>
      <c r="I82" s="143"/>
      <c r="J82" s="143"/>
      <c r="K82" s="143"/>
      <c r="L82" s="130"/>
    </row>
    <row r="83" spans="1:12" s="28" customFormat="1" ht="26.25" customHeight="1" x14ac:dyDescent="0.2">
      <c r="A83" s="427" t="s">
        <v>298</v>
      </c>
      <c r="B83" s="428"/>
      <c r="C83" s="133"/>
      <c r="D83" s="21"/>
      <c r="E83" s="64"/>
      <c r="F83" s="194"/>
      <c r="G83" s="143" t="b">
        <v>0</v>
      </c>
      <c r="H83" s="143"/>
      <c r="I83" s="143"/>
      <c r="J83" s="143"/>
      <c r="K83" s="143"/>
      <c r="L83" s="130"/>
    </row>
    <row r="84" spans="1:12" s="27" customFormat="1" ht="12.75" customHeight="1" x14ac:dyDescent="0.2">
      <c r="A84" s="45" t="s">
        <v>239</v>
      </c>
      <c r="B84" s="45" t="s">
        <v>49</v>
      </c>
      <c r="C84" s="99"/>
      <c r="D84" s="45">
        <v>3</v>
      </c>
      <c r="E84" s="59">
        <f>MIN(D84,E85+E88+E90)</f>
        <v>0</v>
      </c>
      <c r="F84" s="279"/>
      <c r="G84" s="144"/>
      <c r="H84" s="144"/>
      <c r="I84" s="144"/>
      <c r="J84" s="144"/>
      <c r="K84" s="144"/>
      <c r="L84" s="372"/>
    </row>
    <row r="85" spans="1:12" s="49" customFormat="1" ht="12.75" customHeight="1" x14ac:dyDescent="0.2">
      <c r="A85" s="523" t="s">
        <v>154</v>
      </c>
      <c r="B85" s="524"/>
      <c r="C85" s="74"/>
      <c r="D85" s="26">
        <v>2</v>
      </c>
      <c r="E85" s="66">
        <f>IF(C86="",0,HLOOKUP(C86,$I$85:$J$87,3,FALSE))+IF(C87="",0,HLOOKUP(C87,$I$85:$J$87,3,FALSE))</f>
        <v>0</v>
      </c>
      <c r="F85" s="563"/>
      <c r="G85" s="376"/>
      <c r="H85" s="376"/>
      <c r="I85" s="368" t="s">
        <v>385</v>
      </c>
      <c r="J85" s="368" t="s">
        <v>386</v>
      </c>
      <c r="K85" s="145"/>
      <c r="L85" s="376"/>
    </row>
    <row r="86" spans="1:12" s="72" customFormat="1" ht="33" customHeight="1" x14ac:dyDescent="0.15">
      <c r="A86" s="444" t="s">
        <v>387</v>
      </c>
      <c r="B86" s="445"/>
      <c r="C86" s="288"/>
      <c r="D86" s="542"/>
      <c r="E86" s="542"/>
      <c r="F86" s="564"/>
      <c r="G86" s="378" t="str">
        <f>IF(C86="","",HLOOKUP(C86,$I$85:$J$87,2,FALSE))</f>
        <v/>
      </c>
      <c r="H86" s="368"/>
      <c r="I86" s="368" t="s">
        <v>179</v>
      </c>
      <c r="J86" s="368" t="s">
        <v>180</v>
      </c>
      <c r="K86" s="159"/>
      <c r="L86" s="163"/>
    </row>
    <row r="87" spans="1:12" s="72" customFormat="1" ht="23.1" customHeight="1" x14ac:dyDescent="0.15">
      <c r="A87" s="448"/>
      <c r="B87" s="449"/>
      <c r="C87" s="288"/>
      <c r="D87" s="544"/>
      <c r="E87" s="544"/>
      <c r="F87" s="565"/>
      <c r="G87" s="378" t="str">
        <f>IF(C87="","",HLOOKUP(C87,$I$85:$J$87,2,FALSE))</f>
        <v/>
      </c>
      <c r="H87" s="159"/>
      <c r="I87" s="159">
        <v>0.5</v>
      </c>
      <c r="J87" s="159">
        <v>1</v>
      </c>
      <c r="K87" s="159"/>
      <c r="L87" s="163"/>
    </row>
    <row r="88" spans="1:12" s="49" customFormat="1" ht="12" customHeight="1" x14ac:dyDescent="0.2">
      <c r="A88" s="523" t="s">
        <v>108</v>
      </c>
      <c r="B88" s="524"/>
      <c r="C88" s="74"/>
      <c r="D88" s="26">
        <v>1</v>
      </c>
      <c r="E88" s="66">
        <f>IF(G89,0.5,0)+IF(H89,0.5,0)</f>
        <v>0</v>
      </c>
      <c r="F88" s="563"/>
      <c r="G88" s="145"/>
      <c r="H88" s="145"/>
      <c r="I88" s="145"/>
      <c r="J88" s="145"/>
      <c r="K88" s="145"/>
      <c r="L88" s="376"/>
    </row>
    <row r="89" spans="1:12" s="28" customFormat="1" ht="55.5" customHeight="1" x14ac:dyDescent="0.2">
      <c r="A89" s="461" t="s">
        <v>388</v>
      </c>
      <c r="B89" s="462"/>
      <c r="C89" s="134"/>
      <c r="D89" s="26"/>
      <c r="E89" s="66"/>
      <c r="F89" s="565"/>
      <c r="G89" s="145" t="b">
        <v>0</v>
      </c>
      <c r="H89" s="145" t="b">
        <v>0</v>
      </c>
      <c r="I89" s="143"/>
      <c r="J89" s="143"/>
      <c r="K89" s="143"/>
      <c r="L89" s="130"/>
    </row>
    <row r="90" spans="1:12" s="28" customFormat="1" ht="12" customHeight="1" x14ac:dyDescent="0.2">
      <c r="A90" s="523" t="s">
        <v>472</v>
      </c>
      <c r="B90" s="524"/>
      <c r="C90" s="134"/>
      <c r="D90" s="26">
        <v>0.5</v>
      </c>
      <c r="E90" s="66">
        <f>IF(G91,0.5,0)</f>
        <v>0</v>
      </c>
      <c r="F90" s="403"/>
      <c r="G90" s="145"/>
      <c r="H90" s="145"/>
      <c r="I90" s="143"/>
      <c r="J90" s="143"/>
      <c r="K90" s="143"/>
      <c r="L90" s="130"/>
    </row>
    <row r="91" spans="1:12" s="28" customFormat="1" ht="12" customHeight="1" x14ac:dyDescent="0.2">
      <c r="A91" s="461" t="s">
        <v>482</v>
      </c>
      <c r="B91" s="462"/>
      <c r="C91" s="134"/>
      <c r="D91" s="26"/>
      <c r="E91" s="66"/>
      <c r="F91" s="403"/>
      <c r="G91" s="145" t="b">
        <v>0</v>
      </c>
      <c r="H91" s="145"/>
      <c r="I91" s="143"/>
      <c r="J91" s="143"/>
      <c r="K91" s="143"/>
      <c r="L91" s="130"/>
    </row>
    <row r="92" spans="1:12" s="27" customFormat="1" ht="15" customHeight="1" x14ac:dyDescent="0.2">
      <c r="A92" s="45" t="s">
        <v>240</v>
      </c>
      <c r="B92" s="45" t="s">
        <v>109</v>
      </c>
      <c r="C92" s="99"/>
      <c r="D92" s="45">
        <v>3</v>
      </c>
      <c r="E92" s="59">
        <f>MIN(3,G93+G95+G97)</f>
        <v>0</v>
      </c>
      <c r="F92" s="283"/>
      <c r="G92" s="144"/>
      <c r="H92" s="144"/>
      <c r="I92" s="144"/>
      <c r="J92" s="144"/>
      <c r="K92" s="144"/>
      <c r="L92" s="372"/>
    </row>
    <row r="93" spans="1:12" s="49" customFormat="1" ht="15" customHeight="1" x14ac:dyDescent="0.2">
      <c r="A93" s="523" t="s">
        <v>155</v>
      </c>
      <c r="B93" s="524"/>
      <c r="C93" s="74"/>
      <c r="D93" s="26"/>
      <c r="E93" s="66"/>
      <c r="F93" s="573"/>
      <c r="G93" s="145">
        <f>COUNTIF(G94:K94,"true")*0.5+H93</f>
        <v>0</v>
      </c>
      <c r="H93" s="145">
        <f>C94*0.5</f>
        <v>0</v>
      </c>
      <c r="I93" s="145"/>
      <c r="J93" s="145"/>
      <c r="K93" s="145"/>
      <c r="L93" s="376"/>
    </row>
    <row r="94" spans="1:12" s="28" customFormat="1" ht="89.25" customHeight="1" x14ac:dyDescent="0.2">
      <c r="A94" s="461" t="s">
        <v>389</v>
      </c>
      <c r="B94" s="462"/>
      <c r="C94" s="134">
        <v>0</v>
      </c>
      <c r="D94" s="26"/>
      <c r="E94" s="66"/>
      <c r="F94" s="574"/>
      <c r="G94" s="143" t="b">
        <v>0</v>
      </c>
      <c r="H94" s="143" t="b">
        <v>0</v>
      </c>
      <c r="I94" s="143" t="b">
        <v>0</v>
      </c>
      <c r="J94" s="143" t="b">
        <v>0</v>
      </c>
      <c r="K94" s="143" t="b">
        <v>0</v>
      </c>
      <c r="L94" s="130"/>
    </row>
    <row r="95" spans="1:12" s="49" customFormat="1" ht="15" customHeight="1" x14ac:dyDescent="0.2">
      <c r="A95" s="523" t="s">
        <v>156</v>
      </c>
      <c r="B95" s="524"/>
      <c r="C95" s="74"/>
      <c r="D95" s="26"/>
      <c r="E95" s="66"/>
      <c r="F95" s="573"/>
      <c r="G95" s="145">
        <f>COUNTIF(G96:K96,"true")*1+H95</f>
        <v>0</v>
      </c>
      <c r="H95" s="145">
        <f>C96*1</f>
        <v>0</v>
      </c>
      <c r="I95" s="145"/>
      <c r="J95" s="145"/>
      <c r="K95" s="145"/>
      <c r="L95" s="376"/>
    </row>
    <row r="96" spans="1:12" s="28" customFormat="1" ht="100.5" customHeight="1" x14ac:dyDescent="0.2">
      <c r="A96" s="461" t="s">
        <v>390</v>
      </c>
      <c r="B96" s="462"/>
      <c r="C96" s="134">
        <v>0</v>
      </c>
      <c r="D96" s="26"/>
      <c r="E96" s="66"/>
      <c r="F96" s="574"/>
      <c r="G96" s="143" t="b">
        <v>0</v>
      </c>
      <c r="H96" s="143" t="b">
        <v>0</v>
      </c>
      <c r="I96" s="143" t="b">
        <v>0</v>
      </c>
      <c r="J96" s="143" t="b">
        <v>0</v>
      </c>
      <c r="K96" s="143" t="b">
        <v>0</v>
      </c>
      <c r="L96" s="130"/>
    </row>
    <row r="97" spans="1:12" s="28" customFormat="1" ht="15" customHeight="1" x14ac:dyDescent="0.2">
      <c r="A97" s="523" t="s">
        <v>472</v>
      </c>
      <c r="B97" s="524"/>
      <c r="C97" s="134"/>
      <c r="D97" s="26"/>
      <c r="E97" s="66"/>
      <c r="F97" s="402"/>
      <c r="G97" s="143">
        <f>IF(G98,0.5,0)</f>
        <v>0</v>
      </c>
      <c r="H97" s="143"/>
      <c r="I97" s="143"/>
      <c r="J97" s="143"/>
      <c r="K97" s="143"/>
      <c r="L97" s="130"/>
    </row>
    <row r="98" spans="1:12" s="28" customFormat="1" ht="12.75" customHeight="1" x14ac:dyDescent="0.2">
      <c r="A98" s="461" t="s">
        <v>473</v>
      </c>
      <c r="B98" s="462"/>
      <c r="C98" s="134"/>
      <c r="D98" s="26"/>
      <c r="E98" s="66"/>
      <c r="F98" s="402"/>
      <c r="G98" s="143" t="b">
        <v>0</v>
      </c>
      <c r="H98" s="143"/>
      <c r="I98" s="143"/>
      <c r="J98" s="143"/>
      <c r="K98" s="143"/>
      <c r="L98" s="130"/>
    </row>
    <row r="99" spans="1:12" s="27" customFormat="1" ht="24.75" customHeight="1" x14ac:dyDescent="0.2">
      <c r="A99" s="419" t="s">
        <v>269</v>
      </c>
      <c r="B99" s="419"/>
      <c r="C99" s="131"/>
      <c r="D99" s="63">
        <v>1</v>
      </c>
      <c r="E99" s="64">
        <f>IF(G99,1,0)</f>
        <v>0</v>
      </c>
      <c r="F99" s="277"/>
      <c r="G99" s="144" t="b">
        <v>0</v>
      </c>
      <c r="H99" s="144"/>
      <c r="I99" s="144"/>
      <c r="J99" s="144"/>
      <c r="K99" s="144"/>
      <c r="L99" s="372"/>
    </row>
    <row r="100" spans="1:12" s="27" customFormat="1" ht="24.75" customHeight="1" x14ac:dyDescent="0.2">
      <c r="A100" s="427" t="s">
        <v>299</v>
      </c>
      <c r="B100" s="528"/>
      <c r="C100" s="131"/>
      <c r="D100" s="63"/>
      <c r="E100" s="64"/>
      <c r="F100" s="195"/>
      <c r="G100" s="144"/>
      <c r="H100" s="144"/>
      <c r="I100" s="144"/>
      <c r="J100" s="144"/>
      <c r="K100" s="144"/>
      <c r="L100" s="372"/>
    </row>
    <row r="101" spans="1:12" s="27" customFormat="1" ht="12.75" customHeight="1" x14ac:dyDescent="0.2">
      <c r="A101" s="45" t="s">
        <v>241</v>
      </c>
      <c r="B101" s="45" t="s">
        <v>53</v>
      </c>
      <c r="C101" s="99"/>
      <c r="D101" s="45">
        <v>1</v>
      </c>
      <c r="E101" s="169">
        <f>IF(G103,1,0)</f>
        <v>0</v>
      </c>
      <c r="F101" s="488"/>
      <c r="G101" s="144"/>
      <c r="H101" s="144"/>
      <c r="I101" s="144"/>
      <c r="J101" s="144"/>
      <c r="K101" s="144"/>
      <c r="L101" s="372"/>
    </row>
    <row r="102" spans="1:12" ht="12.75" customHeight="1" x14ac:dyDescent="0.2">
      <c r="A102" s="561" t="s">
        <v>124</v>
      </c>
      <c r="B102" s="562"/>
      <c r="C102" s="469"/>
      <c r="D102" s="490"/>
      <c r="E102" s="559"/>
      <c r="F102" s="575"/>
    </row>
    <row r="103" spans="1:12" s="28" customFormat="1" ht="30" customHeight="1" x14ac:dyDescent="0.15">
      <c r="A103" s="461" t="s">
        <v>270</v>
      </c>
      <c r="B103" s="462"/>
      <c r="C103" s="470"/>
      <c r="D103" s="491"/>
      <c r="E103" s="560"/>
      <c r="F103" s="489"/>
      <c r="G103" s="143" t="b">
        <v>0</v>
      </c>
      <c r="H103" s="143"/>
      <c r="I103" s="143"/>
      <c r="J103" s="143"/>
      <c r="K103" s="143"/>
      <c r="L103" s="130"/>
    </row>
    <row r="104" spans="1:12" s="28" customFormat="1" ht="12" customHeight="1" x14ac:dyDescent="0.2">
      <c r="A104" s="122"/>
      <c r="B104" s="122"/>
      <c r="C104" s="126"/>
      <c r="D104" s="121"/>
      <c r="E104" s="124"/>
      <c r="F104" s="127"/>
      <c r="G104" s="143"/>
      <c r="H104" s="143"/>
      <c r="I104" s="143"/>
      <c r="J104" s="143"/>
      <c r="K104" s="143"/>
      <c r="L104" s="130"/>
    </row>
    <row r="105" spans="1:12" s="27" customFormat="1" ht="26.25" customHeight="1" x14ac:dyDescent="0.2">
      <c r="A105" s="419" t="s">
        <v>271</v>
      </c>
      <c r="B105" s="419"/>
      <c r="C105" s="84"/>
      <c r="D105" s="63">
        <v>2</v>
      </c>
      <c r="E105" s="64">
        <f>MIN(2,G105)</f>
        <v>0</v>
      </c>
      <c r="F105" s="566"/>
      <c r="G105" s="144">
        <f>IF(ISNUMBER(SEARCH("TRUE",G106)),"0.5","0")+IF(ISNUMBER(SEARCH("TRUE",H106)),"0.5","0")+IF(ISNUMBER(SEARCH("TRUE",I106)),"0.5","0")+IF(ISNUMBER(SEARCH("TRUE",J106)),"0.5","0")+IF(ISNUMBER(SEARCH("TRUE",K106)),"0.5","0")</f>
        <v>0</v>
      </c>
      <c r="H105" s="144"/>
      <c r="I105" s="144"/>
      <c r="J105" s="144"/>
      <c r="K105" s="144"/>
      <c r="L105" s="372"/>
    </row>
    <row r="106" spans="1:12" s="28" customFormat="1" ht="66" customHeight="1" x14ac:dyDescent="0.2">
      <c r="A106" s="434" t="s">
        <v>384</v>
      </c>
      <c r="B106" s="434"/>
      <c r="C106" s="131"/>
      <c r="D106" s="21"/>
      <c r="E106" s="69"/>
      <c r="F106" s="566"/>
      <c r="G106" s="143" t="b">
        <v>0</v>
      </c>
      <c r="H106" s="143" t="b">
        <v>0</v>
      </c>
      <c r="I106" s="143" t="b">
        <v>0</v>
      </c>
      <c r="J106" s="143" t="b">
        <v>0</v>
      </c>
      <c r="K106" s="143" t="b">
        <v>0</v>
      </c>
      <c r="L106" s="130"/>
    </row>
    <row r="107" spans="1:12" s="27" customFormat="1" ht="24" customHeight="1" x14ac:dyDescent="0.2">
      <c r="A107" s="419" t="s">
        <v>272</v>
      </c>
      <c r="B107" s="419"/>
      <c r="C107" s="84"/>
      <c r="D107" s="63">
        <v>1</v>
      </c>
      <c r="E107" s="64">
        <f>IF(G108,1,0)</f>
        <v>0</v>
      </c>
      <c r="F107" s="571"/>
      <c r="G107" s="144"/>
      <c r="H107" s="144"/>
      <c r="I107" s="144"/>
      <c r="J107" s="144"/>
      <c r="K107" s="144"/>
      <c r="L107" s="372"/>
    </row>
    <row r="108" spans="1:12" s="28" customFormat="1" ht="33.75" customHeight="1" x14ac:dyDescent="0.2">
      <c r="A108" s="434" t="s">
        <v>181</v>
      </c>
      <c r="B108" s="434"/>
      <c r="C108" s="131"/>
      <c r="D108" s="21"/>
      <c r="E108" s="69"/>
      <c r="F108" s="572"/>
      <c r="G108" s="143" t="b">
        <v>0</v>
      </c>
      <c r="H108" s="143"/>
      <c r="I108" s="143"/>
      <c r="J108" s="143"/>
      <c r="K108" s="143"/>
      <c r="L108" s="130"/>
    </row>
    <row r="109" spans="1:12" x14ac:dyDescent="0.2">
      <c r="A109" s="20"/>
      <c r="B109" s="20"/>
      <c r="C109" s="82"/>
      <c r="D109" s="20"/>
      <c r="E109" s="70"/>
      <c r="F109" s="20"/>
    </row>
    <row r="110" spans="1:12" x14ac:dyDescent="0.2">
      <c r="A110" s="50" t="s">
        <v>110</v>
      </c>
      <c r="B110" s="51"/>
      <c r="C110" s="116"/>
      <c r="D110" s="51"/>
      <c r="E110" s="354">
        <f>SUM(E13,E49,E73)</f>
        <v>0</v>
      </c>
      <c r="F110" s="51"/>
    </row>
    <row r="111" spans="1:12" x14ac:dyDescent="0.2">
      <c r="A111" s="52" t="s">
        <v>1</v>
      </c>
      <c r="B111" s="53"/>
      <c r="C111" s="103"/>
      <c r="D111" s="53"/>
      <c r="E111" s="355">
        <f>SUM(E74,E14)</f>
        <v>0</v>
      </c>
      <c r="F111" s="53"/>
    </row>
    <row r="112" spans="1:12" x14ac:dyDescent="0.2">
      <c r="A112" s="20"/>
      <c r="B112" s="20"/>
      <c r="C112" s="82"/>
      <c r="D112" s="20"/>
      <c r="E112" s="70"/>
      <c r="F112" s="20"/>
    </row>
    <row r="113" spans="1:6" ht="12.95" customHeight="1" x14ac:dyDescent="0.2">
      <c r="A113" s="429" t="s">
        <v>93</v>
      </c>
      <c r="B113" s="429"/>
      <c r="C113" s="82"/>
      <c r="D113" s="20"/>
      <c r="E113" s="70"/>
      <c r="F113" s="20"/>
    </row>
    <row r="114" spans="1:6" x14ac:dyDescent="0.2">
      <c r="A114" s="471"/>
      <c r="B114" s="471"/>
      <c r="C114" s="471"/>
      <c r="D114" s="471"/>
      <c r="E114" s="471"/>
      <c r="F114" s="471"/>
    </row>
    <row r="115" spans="1:6" x14ac:dyDescent="0.2">
      <c r="A115" s="471"/>
      <c r="B115" s="471"/>
      <c r="C115" s="471"/>
      <c r="D115" s="471"/>
      <c r="E115" s="471"/>
      <c r="F115" s="471"/>
    </row>
    <row r="116" spans="1:6" x14ac:dyDescent="0.2">
      <c r="A116" s="471"/>
      <c r="B116" s="471"/>
      <c r="C116" s="471"/>
      <c r="D116" s="471"/>
      <c r="E116" s="471"/>
      <c r="F116" s="471"/>
    </row>
    <row r="117" spans="1:6" x14ac:dyDescent="0.2">
      <c r="A117" s="471"/>
      <c r="B117" s="471"/>
      <c r="C117" s="471"/>
      <c r="D117" s="471"/>
      <c r="E117" s="471"/>
      <c r="F117" s="471"/>
    </row>
  </sheetData>
  <sheetProtection algorithmName="SHA-512" hashValue="HiGBvuuBBsE0AIQb6xHimqCERhs8J7t1QGjfkNMDJ3YCajiaKTEXPgysEPTSp3P2dWn0rZnmg8d5pPI4X33Axg==" saltValue="no2Z+IQ11SXysRx6C1Buew==" spinCount="100000" sheet="1" objects="1" scenarios="1"/>
  <mergeCells count="130">
    <mergeCell ref="F59:F60"/>
    <mergeCell ref="F62:F63"/>
    <mergeCell ref="F64:F65"/>
    <mergeCell ref="F76:F77"/>
    <mergeCell ref="F78:F79"/>
    <mergeCell ref="F80:F81"/>
    <mergeCell ref="F51:F58"/>
    <mergeCell ref="A62:B62"/>
    <mergeCell ref="F67:F68"/>
    <mergeCell ref="F69:F70"/>
    <mergeCell ref="A68:B68"/>
    <mergeCell ref="A74:B74"/>
    <mergeCell ref="A80:B80"/>
    <mergeCell ref="A65:B65"/>
    <mergeCell ref="A67:B67"/>
    <mergeCell ref="A81:B81"/>
    <mergeCell ref="A51:B51"/>
    <mergeCell ref="A59:B59"/>
    <mergeCell ref="A60:B60"/>
    <mergeCell ref="A69:B69"/>
    <mergeCell ref="A70:B70"/>
    <mergeCell ref="A77:B77"/>
    <mergeCell ref="A78:B78"/>
    <mergeCell ref="A79:B79"/>
    <mergeCell ref="F38:F39"/>
    <mergeCell ref="F40:F41"/>
    <mergeCell ref="A45:B46"/>
    <mergeCell ref="F44:F46"/>
    <mergeCell ref="E45:E46"/>
    <mergeCell ref="D45:D46"/>
    <mergeCell ref="A40:B40"/>
    <mergeCell ref="A41:B41"/>
    <mergeCell ref="A42:B42"/>
    <mergeCell ref="A43:B43"/>
    <mergeCell ref="A44:B44"/>
    <mergeCell ref="A38:B38"/>
    <mergeCell ref="A39:B39"/>
    <mergeCell ref="F42:F43"/>
    <mergeCell ref="A2:D2"/>
    <mergeCell ref="B3:D3"/>
    <mergeCell ref="B4:D4"/>
    <mergeCell ref="B8:D8"/>
    <mergeCell ref="B9:D9"/>
    <mergeCell ref="B10:D10"/>
    <mergeCell ref="B5:D5"/>
    <mergeCell ref="B6:D6"/>
    <mergeCell ref="B7:D7"/>
    <mergeCell ref="F16:F18"/>
    <mergeCell ref="E17:E18"/>
    <mergeCell ref="D17:D18"/>
    <mergeCell ref="A24:B24"/>
    <mergeCell ref="A16:B16"/>
    <mergeCell ref="A17:B17"/>
    <mergeCell ref="A18:B18"/>
    <mergeCell ref="A14:B14"/>
    <mergeCell ref="A19:B19"/>
    <mergeCell ref="A21:B21"/>
    <mergeCell ref="A22:B22"/>
    <mergeCell ref="A23:B23"/>
    <mergeCell ref="A20:B20"/>
    <mergeCell ref="F19:F21"/>
    <mergeCell ref="E20:E21"/>
    <mergeCell ref="D20:D21"/>
    <mergeCell ref="F22:F23"/>
    <mergeCell ref="F24:F25"/>
    <mergeCell ref="C17:C18"/>
    <mergeCell ref="C20:C21"/>
    <mergeCell ref="A25:B25"/>
    <mergeCell ref="A27:B27"/>
    <mergeCell ref="A28:B28"/>
    <mergeCell ref="A29:B29"/>
    <mergeCell ref="A31:B31"/>
    <mergeCell ref="A32:B32"/>
    <mergeCell ref="A33:B33"/>
    <mergeCell ref="A35:B35"/>
    <mergeCell ref="A30:B30"/>
    <mergeCell ref="F27:F28"/>
    <mergeCell ref="F29:F31"/>
    <mergeCell ref="C30:C31"/>
    <mergeCell ref="F32:F33"/>
    <mergeCell ref="F35:F36"/>
    <mergeCell ref="D30:D31"/>
    <mergeCell ref="E30:E31"/>
    <mergeCell ref="A36:B36"/>
    <mergeCell ref="F85:F87"/>
    <mergeCell ref="D86:D87"/>
    <mergeCell ref="E86:E87"/>
    <mergeCell ref="A82:B82"/>
    <mergeCell ref="A83:B83"/>
    <mergeCell ref="A86:B87"/>
    <mergeCell ref="A85:B85"/>
    <mergeCell ref="A88:B88"/>
    <mergeCell ref="F105:F106"/>
    <mergeCell ref="A100:B100"/>
    <mergeCell ref="F88:F89"/>
    <mergeCell ref="F93:F94"/>
    <mergeCell ref="F95:F96"/>
    <mergeCell ref="F101:F103"/>
    <mergeCell ref="A89:B89"/>
    <mergeCell ref="A96:B96"/>
    <mergeCell ref="A93:B93"/>
    <mergeCell ref="A95:B95"/>
    <mergeCell ref="A94:B94"/>
    <mergeCell ref="A97:B97"/>
    <mergeCell ref="A98:B98"/>
    <mergeCell ref="A114:F117"/>
    <mergeCell ref="A113:B113"/>
    <mergeCell ref="A108:B108"/>
    <mergeCell ref="A106:B106"/>
    <mergeCell ref="A99:B99"/>
    <mergeCell ref="D102:D103"/>
    <mergeCell ref="A105:B105"/>
    <mergeCell ref="A107:B107"/>
    <mergeCell ref="E102:E103"/>
    <mergeCell ref="A103:B103"/>
    <mergeCell ref="C102:C103"/>
    <mergeCell ref="A102:B102"/>
    <mergeCell ref="F107:F108"/>
    <mergeCell ref="A57:B58"/>
    <mergeCell ref="A52:B55"/>
    <mergeCell ref="D52:D55"/>
    <mergeCell ref="D57:D58"/>
    <mergeCell ref="E52:E55"/>
    <mergeCell ref="E57:E58"/>
    <mergeCell ref="A56:B56"/>
    <mergeCell ref="A90:B90"/>
    <mergeCell ref="A91:B91"/>
    <mergeCell ref="A64:B64"/>
    <mergeCell ref="A63:B63"/>
    <mergeCell ref="A76:B76"/>
  </mergeCells>
  <dataValidations count="1">
    <dataValidation type="list" allowBlank="1" showInputMessage="1" showErrorMessage="1" sqref="C86:C87" xr:uid="{00000000-0002-0000-0500-000000000000}">
      <formula1>$H$85:$J$85</formula1>
    </dataValidation>
  </dataValidations>
  <pageMargins left="0.39370078740157483" right="0.39370078740157483" top="0.31496062992125984" bottom="0.31496062992125984" header="0.31496062992125984" footer="0.23622047244094491"/>
  <pageSetup paperSize="9" scale="98" firstPageNumber="10" fitToHeight="0" pageOrder="overThenDown" orientation="portrait" useFirstPageNumber="1" r:id="rId1"/>
  <headerFooter>
    <oddFooter>&amp;RPage &amp;P</oddFooter>
  </headerFooter>
  <rowBreaks count="3" manualBreakCount="3">
    <brk id="37" max="7" man="1"/>
    <brk id="71" max="7" man="1"/>
    <brk id="10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locked="0" defaultSize="0" autoFill="0" autoLine="0" autoPict="0">
                <anchor moveWithCells="1">
                  <from>
                    <xdr:col>4</xdr:col>
                    <xdr:colOff>142875</xdr:colOff>
                    <xdr:row>1</xdr:row>
                    <xdr:rowOff>114300</xdr:rowOff>
                  </from>
                  <to>
                    <xdr:col>4</xdr:col>
                    <xdr:colOff>447675</xdr:colOff>
                    <xdr:row>3</xdr:row>
                    <xdr:rowOff>38100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4</xdr:col>
                    <xdr:colOff>142875</xdr:colOff>
                    <xdr:row>2</xdr:row>
                    <xdr:rowOff>114300</xdr:rowOff>
                  </from>
                  <to>
                    <xdr:col>4</xdr:col>
                    <xdr:colOff>447675</xdr:colOff>
                    <xdr:row>4</xdr:row>
                    <xdr:rowOff>38100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4</xdr:col>
                    <xdr:colOff>142875</xdr:colOff>
                    <xdr:row>3</xdr:row>
                    <xdr:rowOff>114300</xdr:rowOff>
                  </from>
                  <to>
                    <xdr:col>4</xdr:col>
                    <xdr:colOff>447675</xdr:colOff>
                    <xdr:row>5</xdr:row>
                    <xdr:rowOff>38100</xdr:rowOff>
                  </to>
                </anchor>
              </controlPr>
            </control>
          </mc:Choice>
        </mc:AlternateContent>
        <mc:AlternateContent xmlns:mc="http://schemas.openxmlformats.org/markup-compatibility/2006">
          <mc:Choice Requires="x14">
            <control shapeId="8207" r:id="rId7" name="Check Box 15">
              <controlPr locked="0" defaultSize="0" autoFill="0" autoLine="0" autoPict="0">
                <anchor moveWithCells="1">
                  <from>
                    <xdr:col>2</xdr:col>
                    <xdr:colOff>180975</xdr:colOff>
                    <xdr:row>19</xdr:row>
                    <xdr:rowOff>133350</xdr:rowOff>
                  </from>
                  <to>
                    <xdr:col>2</xdr:col>
                    <xdr:colOff>485775</xdr:colOff>
                    <xdr:row>20</xdr:row>
                    <xdr:rowOff>200025</xdr:rowOff>
                  </to>
                </anchor>
              </controlPr>
            </control>
          </mc:Choice>
        </mc:AlternateContent>
        <mc:AlternateContent xmlns:mc="http://schemas.openxmlformats.org/markup-compatibility/2006">
          <mc:Choice Requires="x14">
            <control shapeId="8208" r:id="rId8" name="Check Box 16">
              <controlPr locked="0" defaultSize="0" autoFill="0" autoLine="0" autoPict="0">
                <anchor moveWithCells="1">
                  <from>
                    <xdr:col>2</xdr:col>
                    <xdr:colOff>180975</xdr:colOff>
                    <xdr:row>21</xdr:row>
                    <xdr:rowOff>123825</xdr:rowOff>
                  </from>
                  <to>
                    <xdr:col>2</xdr:col>
                    <xdr:colOff>485775</xdr:colOff>
                    <xdr:row>22</xdr:row>
                    <xdr:rowOff>209550</xdr:rowOff>
                  </to>
                </anchor>
              </controlPr>
            </control>
          </mc:Choice>
        </mc:AlternateContent>
        <mc:AlternateContent xmlns:mc="http://schemas.openxmlformats.org/markup-compatibility/2006">
          <mc:Choice Requires="x14">
            <control shapeId="8209" r:id="rId9" name="Check Box 17">
              <controlPr locked="0" defaultSize="0" autoFill="0" autoLine="0" autoPict="0">
                <anchor moveWithCells="1">
                  <from>
                    <xdr:col>2</xdr:col>
                    <xdr:colOff>180975</xdr:colOff>
                    <xdr:row>23</xdr:row>
                    <xdr:rowOff>133350</xdr:rowOff>
                  </from>
                  <to>
                    <xdr:col>2</xdr:col>
                    <xdr:colOff>485775</xdr:colOff>
                    <xdr:row>24</xdr:row>
                    <xdr:rowOff>200025</xdr:rowOff>
                  </to>
                </anchor>
              </controlPr>
            </control>
          </mc:Choice>
        </mc:AlternateContent>
        <mc:AlternateContent xmlns:mc="http://schemas.openxmlformats.org/markup-compatibility/2006">
          <mc:Choice Requires="x14">
            <control shapeId="8210" r:id="rId10" name="Check Box 18">
              <controlPr locked="0" defaultSize="0" autoFill="0" autoLine="0" autoPict="0">
                <anchor moveWithCells="1">
                  <from>
                    <xdr:col>2</xdr:col>
                    <xdr:colOff>180975</xdr:colOff>
                    <xdr:row>24</xdr:row>
                    <xdr:rowOff>228600</xdr:rowOff>
                  </from>
                  <to>
                    <xdr:col>2</xdr:col>
                    <xdr:colOff>485775</xdr:colOff>
                    <xdr:row>24</xdr:row>
                    <xdr:rowOff>457200</xdr:rowOff>
                  </to>
                </anchor>
              </controlPr>
            </control>
          </mc:Choice>
        </mc:AlternateContent>
        <mc:AlternateContent xmlns:mc="http://schemas.openxmlformats.org/markup-compatibility/2006">
          <mc:Choice Requires="x14">
            <control shapeId="8211" r:id="rId11" name="Check Box 19">
              <controlPr locked="0" defaultSize="0" autoFill="0" autoLine="0" autoPict="0">
                <anchor moveWithCells="1">
                  <from>
                    <xdr:col>2</xdr:col>
                    <xdr:colOff>180975</xdr:colOff>
                    <xdr:row>27</xdr:row>
                    <xdr:rowOff>104775</xdr:rowOff>
                  </from>
                  <to>
                    <xdr:col>2</xdr:col>
                    <xdr:colOff>485775</xdr:colOff>
                    <xdr:row>27</xdr:row>
                    <xdr:rowOff>333375</xdr:rowOff>
                  </to>
                </anchor>
              </controlPr>
            </control>
          </mc:Choice>
        </mc:AlternateContent>
        <mc:AlternateContent xmlns:mc="http://schemas.openxmlformats.org/markup-compatibility/2006">
          <mc:Choice Requires="x14">
            <control shapeId="8212" r:id="rId12" name="Check Box 20">
              <controlPr locked="0" defaultSize="0" autoFill="0" autoLine="0" autoPict="0">
                <anchor moveWithCells="1">
                  <from>
                    <xdr:col>2</xdr:col>
                    <xdr:colOff>180975</xdr:colOff>
                    <xdr:row>27</xdr:row>
                    <xdr:rowOff>371475</xdr:rowOff>
                  </from>
                  <to>
                    <xdr:col>2</xdr:col>
                    <xdr:colOff>485775</xdr:colOff>
                    <xdr:row>27</xdr:row>
                    <xdr:rowOff>600075</xdr:rowOff>
                  </to>
                </anchor>
              </controlPr>
            </control>
          </mc:Choice>
        </mc:AlternateContent>
        <mc:AlternateContent xmlns:mc="http://schemas.openxmlformats.org/markup-compatibility/2006">
          <mc:Choice Requires="x14">
            <control shapeId="8213" r:id="rId13" name="Check Box 21">
              <controlPr locked="0" defaultSize="0" autoFill="0" autoLine="0" autoPict="0">
                <anchor moveWithCells="1">
                  <from>
                    <xdr:col>2</xdr:col>
                    <xdr:colOff>180975</xdr:colOff>
                    <xdr:row>27</xdr:row>
                    <xdr:rowOff>762000</xdr:rowOff>
                  </from>
                  <to>
                    <xdr:col>2</xdr:col>
                    <xdr:colOff>485775</xdr:colOff>
                    <xdr:row>27</xdr:row>
                    <xdr:rowOff>990600</xdr:rowOff>
                  </to>
                </anchor>
              </controlPr>
            </control>
          </mc:Choice>
        </mc:AlternateContent>
        <mc:AlternateContent xmlns:mc="http://schemas.openxmlformats.org/markup-compatibility/2006">
          <mc:Choice Requires="x14">
            <control shapeId="8214" r:id="rId14" name="Check Box 22">
              <controlPr locked="0" defaultSize="0" autoFill="0" autoLine="0" autoPict="0">
                <anchor moveWithCells="1">
                  <from>
                    <xdr:col>2</xdr:col>
                    <xdr:colOff>180975</xdr:colOff>
                    <xdr:row>29</xdr:row>
                    <xdr:rowOff>133350</xdr:rowOff>
                  </from>
                  <to>
                    <xdr:col>2</xdr:col>
                    <xdr:colOff>485775</xdr:colOff>
                    <xdr:row>30</xdr:row>
                    <xdr:rowOff>200025</xdr:rowOff>
                  </to>
                </anchor>
              </controlPr>
            </control>
          </mc:Choice>
        </mc:AlternateContent>
        <mc:AlternateContent xmlns:mc="http://schemas.openxmlformats.org/markup-compatibility/2006">
          <mc:Choice Requires="x14">
            <control shapeId="8215" r:id="rId15" name="Check Box 23">
              <controlPr locked="0" defaultSize="0" autoFill="0" autoLine="0" autoPict="0">
                <anchor moveWithCells="1">
                  <from>
                    <xdr:col>2</xdr:col>
                    <xdr:colOff>180975</xdr:colOff>
                    <xdr:row>30</xdr:row>
                    <xdr:rowOff>238125</xdr:rowOff>
                  </from>
                  <to>
                    <xdr:col>2</xdr:col>
                    <xdr:colOff>485775</xdr:colOff>
                    <xdr:row>30</xdr:row>
                    <xdr:rowOff>466725</xdr:rowOff>
                  </to>
                </anchor>
              </controlPr>
            </control>
          </mc:Choice>
        </mc:AlternateContent>
        <mc:AlternateContent xmlns:mc="http://schemas.openxmlformats.org/markup-compatibility/2006">
          <mc:Choice Requires="x14">
            <control shapeId="8216" r:id="rId16" name="Check Box 24">
              <controlPr locked="0" defaultSize="0" autoFill="0" autoLine="0" autoPict="0">
                <anchor moveWithCells="1">
                  <from>
                    <xdr:col>2</xdr:col>
                    <xdr:colOff>180975</xdr:colOff>
                    <xdr:row>31</xdr:row>
                    <xdr:rowOff>152400</xdr:rowOff>
                  </from>
                  <to>
                    <xdr:col>2</xdr:col>
                    <xdr:colOff>485775</xdr:colOff>
                    <xdr:row>32</xdr:row>
                    <xdr:rowOff>209550</xdr:rowOff>
                  </to>
                </anchor>
              </controlPr>
            </control>
          </mc:Choice>
        </mc:AlternateContent>
        <mc:AlternateContent xmlns:mc="http://schemas.openxmlformats.org/markup-compatibility/2006">
          <mc:Choice Requires="x14">
            <control shapeId="8217" r:id="rId17" name="Check Box 25">
              <controlPr locked="0" defaultSize="0" autoFill="0" autoLine="0" autoPict="0">
                <anchor moveWithCells="1">
                  <from>
                    <xdr:col>2</xdr:col>
                    <xdr:colOff>180975</xdr:colOff>
                    <xdr:row>35</xdr:row>
                    <xdr:rowOff>0</xdr:rowOff>
                  </from>
                  <to>
                    <xdr:col>2</xdr:col>
                    <xdr:colOff>485775</xdr:colOff>
                    <xdr:row>35</xdr:row>
                    <xdr:rowOff>219075</xdr:rowOff>
                  </to>
                </anchor>
              </controlPr>
            </control>
          </mc:Choice>
        </mc:AlternateContent>
        <mc:AlternateContent xmlns:mc="http://schemas.openxmlformats.org/markup-compatibility/2006">
          <mc:Choice Requires="x14">
            <control shapeId="8218" r:id="rId18" name="Check Box 26">
              <controlPr locked="0" defaultSize="0" autoFill="0" autoLine="0" autoPict="0">
                <anchor moveWithCells="1">
                  <from>
                    <xdr:col>2</xdr:col>
                    <xdr:colOff>180975</xdr:colOff>
                    <xdr:row>35</xdr:row>
                    <xdr:rowOff>238125</xdr:rowOff>
                  </from>
                  <to>
                    <xdr:col>2</xdr:col>
                    <xdr:colOff>485775</xdr:colOff>
                    <xdr:row>35</xdr:row>
                    <xdr:rowOff>457200</xdr:rowOff>
                  </to>
                </anchor>
              </controlPr>
            </control>
          </mc:Choice>
        </mc:AlternateContent>
        <mc:AlternateContent xmlns:mc="http://schemas.openxmlformats.org/markup-compatibility/2006">
          <mc:Choice Requires="x14">
            <control shapeId="8219" r:id="rId19" name="Check Box 27">
              <controlPr locked="0" defaultSize="0" autoFill="0" autoLine="0" autoPict="0">
                <anchor moveWithCells="1">
                  <from>
                    <xdr:col>2</xdr:col>
                    <xdr:colOff>180975</xdr:colOff>
                    <xdr:row>37</xdr:row>
                    <xdr:rowOff>142875</xdr:rowOff>
                  </from>
                  <to>
                    <xdr:col>2</xdr:col>
                    <xdr:colOff>485775</xdr:colOff>
                    <xdr:row>38</xdr:row>
                    <xdr:rowOff>200025</xdr:rowOff>
                  </to>
                </anchor>
              </controlPr>
            </control>
          </mc:Choice>
        </mc:AlternateContent>
        <mc:AlternateContent xmlns:mc="http://schemas.openxmlformats.org/markup-compatibility/2006">
          <mc:Choice Requires="x14">
            <control shapeId="8221" r:id="rId20" name="Check Box 29">
              <controlPr locked="0" defaultSize="0" autoFill="0" autoLine="0" autoPict="0">
                <anchor moveWithCells="1">
                  <from>
                    <xdr:col>2</xdr:col>
                    <xdr:colOff>180975</xdr:colOff>
                    <xdr:row>42</xdr:row>
                    <xdr:rowOff>9525</xdr:rowOff>
                  </from>
                  <to>
                    <xdr:col>2</xdr:col>
                    <xdr:colOff>485775</xdr:colOff>
                    <xdr:row>42</xdr:row>
                    <xdr:rowOff>238125</xdr:rowOff>
                  </to>
                </anchor>
              </controlPr>
            </control>
          </mc:Choice>
        </mc:AlternateContent>
        <mc:AlternateContent xmlns:mc="http://schemas.openxmlformats.org/markup-compatibility/2006">
          <mc:Choice Requires="x14">
            <control shapeId="8225" r:id="rId21" name="Check Box 33">
              <controlPr locked="0" defaultSize="0" autoFill="0" autoLine="0" autoPict="0">
                <anchor moveWithCells="1">
                  <from>
                    <xdr:col>2</xdr:col>
                    <xdr:colOff>123825</xdr:colOff>
                    <xdr:row>56</xdr:row>
                    <xdr:rowOff>333375</xdr:rowOff>
                  </from>
                  <to>
                    <xdr:col>2</xdr:col>
                    <xdr:colOff>428625</xdr:colOff>
                    <xdr:row>58</xdr:row>
                    <xdr:rowOff>57150</xdr:rowOff>
                  </to>
                </anchor>
              </controlPr>
            </control>
          </mc:Choice>
        </mc:AlternateContent>
        <mc:AlternateContent xmlns:mc="http://schemas.openxmlformats.org/markup-compatibility/2006">
          <mc:Choice Requires="x14">
            <control shapeId="8226" r:id="rId22" name="Check Box 34">
              <controlPr locked="0" defaultSize="0" autoFill="0" autoLine="0" autoPict="0">
                <anchor moveWithCells="1">
                  <from>
                    <xdr:col>2</xdr:col>
                    <xdr:colOff>180975</xdr:colOff>
                    <xdr:row>59</xdr:row>
                    <xdr:rowOff>209550</xdr:rowOff>
                  </from>
                  <to>
                    <xdr:col>2</xdr:col>
                    <xdr:colOff>485775</xdr:colOff>
                    <xdr:row>59</xdr:row>
                    <xdr:rowOff>447675</xdr:rowOff>
                  </to>
                </anchor>
              </controlPr>
            </control>
          </mc:Choice>
        </mc:AlternateContent>
        <mc:AlternateContent xmlns:mc="http://schemas.openxmlformats.org/markup-compatibility/2006">
          <mc:Choice Requires="x14">
            <control shapeId="8227" r:id="rId23" name="Check Box 35">
              <controlPr locked="0" defaultSize="0" autoFill="0" autoLine="0" autoPict="0">
                <anchor moveWithCells="1">
                  <from>
                    <xdr:col>2</xdr:col>
                    <xdr:colOff>180975</xdr:colOff>
                    <xdr:row>59</xdr:row>
                    <xdr:rowOff>352425</xdr:rowOff>
                  </from>
                  <to>
                    <xdr:col>2</xdr:col>
                    <xdr:colOff>485775</xdr:colOff>
                    <xdr:row>59</xdr:row>
                    <xdr:rowOff>581025</xdr:rowOff>
                  </to>
                </anchor>
              </controlPr>
            </control>
          </mc:Choice>
        </mc:AlternateContent>
        <mc:AlternateContent xmlns:mc="http://schemas.openxmlformats.org/markup-compatibility/2006">
          <mc:Choice Requires="x14">
            <control shapeId="8228" r:id="rId24" name="Check Box 36">
              <controlPr locked="0" defaultSize="0" autoFill="0" autoLine="0" autoPict="0">
                <anchor moveWithCells="1">
                  <from>
                    <xdr:col>2</xdr:col>
                    <xdr:colOff>180975</xdr:colOff>
                    <xdr:row>59</xdr:row>
                    <xdr:rowOff>485775</xdr:rowOff>
                  </from>
                  <to>
                    <xdr:col>2</xdr:col>
                    <xdr:colOff>485775</xdr:colOff>
                    <xdr:row>59</xdr:row>
                    <xdr:rowOff>714375</xdr:rowOff>
                  </to>
                </anchor>
              </controlPr>
            </control>
          </mc:Choice>
        </mc:AlternateContent>
        <mc:AlternateContent xmlns:mc="http://schemas.openxmlformats.org/markup-compatibility/2006">
          <mc:Choice Requires="x14">
            <control shapeId="8229" r:id="rId25" name="Check Box 37">
              <controlPr locked="0" defaultSize="0" autoFill="0" autoLine="0" autoPict="0">
                <anchor moveWithCells="1">
                  <from>
                    <xdr:col>2</xdr:col>
                    <xdr:colOff>180975</xdr:colOff>
                    <xdr:row>59</xdr:row>
                    <xdr:rowOff>619125</xdr:rowOff>
                  </from>
                  <to>
                    <xdr:col>2</xdr:col>
                    <xdr:colOff>485775</xdr:colOff>
                    <xdr:row>59</xdr:row>
                    <xdr:rowOff>847725</xdr:rowOff>
                  </to>
                </anchor>
              </controlPr>
            </control>
          </mc:Choice>
        </mc:AlternateContent>
        <mc:AlternateContent xmlns:mc="http://schemas.openxmlformats.org/markup-compatibility/2006">
          <mc:Choice Requires="x14">
            <control shapeId="8230" r:id="rId26" name="Check Box 38">
              <controlPr locked="0" defaultSize="0" autoFill="0" autoLine="0" autoPict="0">
                <anchor moveWithCells="1">
                  <from>
                    <xdr:col>2</xdr:col>
                    <xdr:colOff>180975</xdr:colOff>
                    <xdr:row>59</xdr:row>
                    <xdr:rowOff>752475</xdr:rowOff>
                  </from>
                  <to>
                    <xdr:col>2</xdr:col>
                    <xdr:colOff>485775</xdr:colOff>
                    <xdr:row>60</xdr:row>
                    <xdr:rowOff>19050</xdr:rowOff>
                  </to>
                </anchor>
              </controlPr>
            </control>
          </mc:Choice>
        </mc:AlternateContent>
        <mc:AlternateContent xmlns:mc="http://schemas.openxmlformats.org/markup-compatibility/2006">
          <mc:Choice Requires="x14">
            <control shapeId="8231" r:id="rId27" name="Check Box 39">
              <controlPr locked="0" defaultSize="0" autoFill="0" autoLine="0" autoPict="0">
                <anchor moveWithCells="1">
                  <from>
                    <xdr:col>2</xdr:col>
                    <xdr:colOff>180975</xdr:colOff>
                    <xdr:row>61</xdr:row>
                    <xdr:rowOff>123825</xdr:rowOff>
                  </from>
                  <to>
                    <xdr:col>2</xdr:col>
                    <xdr:colOff>485775</xdr:colOff>
                    <xdr:row>62</xdr:row>
                    <xdr:rowOff>200025</xdr:rowOff>
                  </to>
                </anchor>
              </controlPr>
            </control>
          </mc:Choice>
        </mc:AlternateContent>
        <mc:AlternateContent xmlns:mc="http://schemas.openxmlformats.org/markup-compatibility/2006">
          <mc:Choice Requires="x14">
            <control shapeId="8232" r:id="rId28" name="Check Box 40">
              <controlPr locked="0" defaultSize="0" autoFill="0" autoLine="0" autoPict="0">
                <anchor moveWithCells="1">
                  <from>
                    <xdr:col>2</xdr:col>
                    <xdr:colOff>180975</xdr:colOff>
                    <xdr:row>63</xdr:row>
                    <xdr:rowOff>133350</xdr:rowOff>
                  </from>
                  <to>
                    <xdr:col>2</xdr:col>
                    <xdr:colOff>485775</xdr:colOff>
                    <xdr:row>64</xdr:row>
                    <xdr:rowOff>200025</xdr:rowOff>
                  </to>
                </anchor>
              </controlPr>
            </control>
          </mc:Choice>
        </mc:AlternateContent>
        <mc:AlternateContent xmlns:mc="http://schemas.openxmlformats.org/markup-compatibility/2006">
          <mc:Choice Requires="x14">
            <control shapeId="8233" r:id="rId29" name="Check Box 41">
              <controlPr locked="0" defaultSize="0" autoFill="0" autoLine="0" autoPict="0">
                <anchor moveWithCells="1">
                  <from>
                    <xdr:col>2</xdr:col>
                    <xdr:colOff>180975</xdr:colOff>
                    <xdr:row>66</xdr:row>
                    <xdr:rowOff>133350</xdr:rowOff>
                  </from>
                  <to>
                    <xdr:col>2</xdr:col>
                    <xdr:colOff>485775</xdr:colOff>
                    <xdr:row>67</xdr:row>
                    <xdr:rowOff>200025</xdr:rowOff>
                  </to>
                </anchor>
              </controlPr>
            </control>
          </mc:Choice>
        </mc:AlternateContent>
        <mc:AlternateContent xmlns:mc="http://schemas.openxmlformats.org/markup-compatibility/2006">
          <mc:Choice Requires="x14">
            <control shapeId="8234" r:id="rId30" name="Check Box 42">
              <controlPr locked="0" defaultSize="0" autoFill="0" autoLine="0" autoPict="0">
                <anchor moveWithCells="1">
                  <from>
                    <xdr:col>2</xdr:col>
                    <xdr:colOff>180975</xdr:colOff>
                    <xdr:row>67</xdr:row>
                    <xdr:rowOff>238125</xdr:rowOff>
                  </from>
                  <to>
                    <xdr:col>2</xdr:col>
                    <xdr:colOff>476250</xdr:colOff>
                    <xdr:row>67</xdr:row>
                    <xdr:rowOff>466725</xdr:rowOff>
                  </to>
                </anchor>
              </controlPr>
            </control>
          </mc:Choice>
        </mc:AlternateContent>
        <mc:AlternateContent xmlns:mc="http://schemas.openxmlformats.org/markup-compatibility/2006">
          <mc:Choice Requires="x14">
            <control shapeId="8235" r:id="rId31" name="Check Box 43">
              <controlPr locked="0" defaultSize="0" autoFill="0" autoLine="0" autoPict="0">
                <anchor moveWithCells="1">
                  <from>
                    <xdr:col>2</xdr:col>
                    <xdr:colOff>180975</xdr:colOff>
                    <xdr:row>67</xdr:row>
                    <xdr:rowOff>371475</xdr:rowOff>
                  </from>
                  <to>
                    <xdr:col>2</xdr:col>
                    <xdr:colOff>476250</xdr:colOff>
                    <xdr:row>67</xdr:row>
                    <xdr:rowOff>600075</xdr:rowOff>
                  </to>
                </anchor>
              </controlPr>
            </control>
          </mc:Choice>
        </mc:AlternateContent>
        <mc:AlternateContent xmlns:mc="http://schemas.openxmlformats.org/markup-compatibility/2006">
          <mc:Choice Requires="x14">
            <control shapeId="8236" r:id="rId32" name="Check Box 44">
              <controlPr locked="0" defaultSize="0" autoFill="0" autoLine="0" autoPict="0">
                <anchor moveWithCells="1">
                  <from>
                    <xdr:col>2</xdr:col>
                    <xdr:colOff>180975</xdr:colOff>
                    <xdr:row>67</xdr:row>
                    <xdr:rowOff>504825</xdr:rowOff>
                  </from>
                  <to>
                    <xdr:col>2</xdr:col>
                    <xdr:colOff>476250</xdr:colOff>
                    <xdr:row>67</xdr:row>
                    <xdr:rowOff>733425</xdr:rowOff>
                  </to>
                </anchor>
              </controlPr>
            </control>
          </mc:Choice>
        </mc:AlternateContent>
        <mc:AlternateContent xmlns:mc="http://schemas.openxmlformats.org/markup-compatibility/2006">
          <mc:Choice Requires="x14">
            <control shapeId="8237" r:id="rId33" name="Check Box 45">
              <controlPr locked="0" defaultSize="0" autoFill="0" autoLine="0" autoPict="0">
                <anchor moveWithCells="1">
                  <from>
                    <xdr:col>2</xdr:col>
                    <xdr:colOff>180975</xdr:colOff>
                    <xdr:row>67</xdr:row>
                    <xdr:rowOff>752475</xdr:rowOff>
                  </from>
                  <to>
                    <xdr:col>2</xdr:col>
                    <xdr:colOff>476250</xdr:colOff>
                    <xdr:row>68</xdr:row>
                    <xdr:rowOff>19050</xdr:rowOff>
                  </to>
                </anchor>
              </controlPr>
            </control>
          </mc:Choice>
        </mc:AlternateContent>
        <mc:AlternateContent xmlns:mc="http://schemas.openxmlformats.org/markup-compatibility/2006">
          <mc:Choice Requires="x14">
            <control shapeId="8239" r:id="rId34" name="Check Box 47">
              <controlPr locked="0" defaultSize="0" autoFill="0" autoLine="0" autoPict="0">
                <anchor moveWithCells="1">
                  <from>
                    <xdr:col>2</xdr:col>
                    <xdr:colOff>180975</xdr:colOff>
                    <xdr:row>69</xdr:row>
                    <xdr:rowOff>133350</xdr:rowOff>
                  </from>
                  <to>
                    <xdr:col>2</xdr:col>
                    <xdr:colOff>485775</xdr:colOff>
                    <xdr:row>70</xdr:row>
                    <xdr:rowOff>28575</xdr:rowOff>
                  </to>
                </anchor>
              </controlPr>
            </control>
          </mc:Choice>
        </mc:AlternateContent>
        <mc:AlternateContent xmlns:mc="http://schemas.openxmlformats.org/markup-compatibility/2006">
          <mc:Choice Requires="x14">
            <control shapeId="8240" r:id="rId35" name="Check Box 48">
              <controlPr locked="0" defaultSize="0" autoFill="0" autoLine="0" autoPict="0">
                <anchor moveWithCells="1">
                  <from>
                    <xdr:col>2</xdr:col>
                    <xdr:colOff>180975</xdr:colOff>
                    <xdr:row>75</xdr:row>
                    <xdr:rowOff>123825</xdr:rowOff>
                  </from>
                  <to>
                    <xdr:col>2</xdr:col>
                    <xdr:colOff>485775</xdr:colOff>
                    <xdr:row>76</xdr:row>
                    <xdr:rowOff>200025</xdr:rowOff>
                  </to>
                </anchor>
              </controlPr>
            </control>
          </mc:Choice>
        </mc:AlternateContent>
        <mc:AlternateContent xmlns:mc="http://schemas.openxmlformats.org/markup-compatibility/2006">
          <mc:Choice Requires="x14">
            <control shapeId="8241" r:id="rId36" name="Check Box 49">
              <controlPr locked="0" defaultSize="0" autoFill="0" autoLine="0" autoPict="0">
                <anchor moveWithCells="1">
                  <from>
                    <xdr:col>2</xdr:col>
                    <xdr:colOff>180975</xdr:colOff>
                    <xdr:row>76</xdr:row>
                    <xdr:rowOff>95250</xdr:rowOff>
                  </from>
                  <to>
                    <xdr:col>2</xdr:col>
                    <xdr:colOff>485775</xdr:colOff>
                    <xdr:row>76</xdr:row>
                    <xdr:rowOff>323850</xdr:rowOff>
                  </to>
                </anchor>
              </controlPr>
            </control>
          </mc:Choice>
        </mc:AlternateContent>
        <mc:AlternateContent xmlns:mc="http://schemas.openxmlformats.org/markup-compatibility/2006">
          <mc:Choice Requires="x14">
            <control shapeId="8242" r:id="rId37" name="Check Box 50">
              <controlPr locked="0" defaultSize="0" autoFill="0" autoLine="0" autoPict="0">
                <anchor moveWithCells="1">
                  <from>
                    <xdr:col>2</xdr:col>
                    <xdr:colOff>180975</xdr:colOff>
                    <xdr:row>77</xdr:row>
                    <xdr:rowOff>133350</xdr:rowOff>
                  </from>
                  <to>
                    <xdr:col>2</xdr:col>
                    <xdr:colOff>485775</xdr:colOff>
                    <xdr:row>78</xdr:row>
                    <xdr:rowOff>200025</xdr:rowOff>
                  </to>
                </anchor>
              </controlPr>
            </control>
          </mc:Choice>
        </mc:AlternateContent>
        <mc:AlternateContent xmlns:mc="http://schemas.openxmlformats.org/markup-compatibility/2006">
          <mc:Choice Requires="x14">
            <control shapeId="8243" r:id="rId38" name="Check Box 51">
              <controlPr locked="0" defaultSize="0" autoFill="0" autoLine="0" autoPict="0">
                <anchor moveWithCells="1">
                  <from>
                    <xdr:col>2</xdr:col>
                    <xdr:colOff>180975</xdr:colOff>
                    <xdr:row>80</xdr:row>
                    <xdr:rowOff>104775</xdr:rowOff>
                  </from>
                  <to>
                    <xdr:col>2</xdr:col>
                    <xdr:colOff>485775</xdr:colOff>
                    <xdr:row>80</xdr:row>
                    <xdr:rowOff>333375</xdr:rowOff>
                  </to>
                </anchor>
              </controlPr>
            </control>
          </mc:Choice>
        </mc:AlternateContent>
        <mc:AlternateContent xmlns:mc="http://schemas.openxmlformats.org/markup-compatibility/2006">
          <mc:Choice Requires="x14">
            <control shapeId="8246" r:id="rId39" name="Check Box 54">
              <controlPr locked="0" defaultSize="0" autoFill="0" autoLine="0" autoPict="0">
                <anchor moveWithCells="1">
                  <from>
                    <xdr:col>2</xdr:col>
                    <xdr:colOff>180975</xdr:colOff>
                    <xdr:row>93</xdr:row>
                    <xdr:rowOff>123825</xdr:rowOff>
                  </from>
                  <to>
                    <xdr:col>2</xdr:col>
                    <xdr:colOff>485775</xdr:colOff>
                    <xdr:row>93</xdr:row>
                    <xdr:rowOff>352425</xdr:rowOff>
                  </to>
                </anchor>
              </controlPr>
            </control>
          </mc:Choice>
        </mc:AlternateContent>
        <mc:AlternateContent xmlns:mc="http://schemas.openxmlformats.org/markup-compatibility/2006">
          <mc:Choice Requires="x14">
            <control shapeId="8247" r:id="rId40" name="Check Box 55">
              <controlPr locked="0" defaultSize="0" autoFill="0" autoLine="0" autoPict="0">
                <anchor moveWithCells="1">
                  <from>
                    <xdr:col>2</xdr:col>
                    <xdr:colOff>180975</xdr:colOff>
                    <xdr:row>93</xdr:row>
                    <xdr:rowOff>257175</xdr:rowOff>
                  </from>
                  <to>
                    <xdr:col>2</xdr:col>
                    <xdr:colOff>485775</xdr:colOff>
                    <xdr:row>93</xdr:row>
                    <xdr:rowOff>485775</xdr:rowOff>
                  </to>
                </anchor>
              </controlPr>
            </control>
          </mc:Choice>
        </mc:AlternateContent>
        <mc:AlternateContent xmlns:mc="http://schemas.openxmlformats.org/markup-compatibility/2006">
          <mc:Choice Requires="x14">
            <control shapeId="8248" r:id="rId41" name="Check Box 56">
              <controlPr locked="0" defaultSize="0" autoFill="0" autoLine="0" autoPict="0">
                <anchor moveWithCells="1">
                  <from>
                    <xdr:col>2</xdr:col>
                    <xdr:colOff>180975</xdr:colOff>
                    <xdr:row>93</xdr:row>
                    <xdr:rowOff>390525</xdr:rowOff>
                  </from>
                  <to>
                    <xdr:col>2</xdr:col>
                    <xdr:colOff>485775</xdr:colOff>
                    <xdr:row>93</xdr:row>
                    <xdr:rowOff>609600</xdr:rowOff>
                  </to>
                </anchor>
              </controlPr>
            </control>
          </mc:Choice>
        </mc:AlternateContent>
        <mc:AlternateContent xmlns:mc="http://schemas.openxmlformats.org/markup-compatibility/2006">
          <mc:Choice Requires="x14">
            <control shapeId="8249" r:id="rId42" name="Check Box 57">
              <controlPr locked="0" defaultSize="0" autoFill="0" autoLine="0" autoPict="0">
                <anchor moveWithCells="1">
                  <from>
                    <xdr:col>2</xdr:col>
                    <xdr:colOff>180975</xdr:colOff>
                    <xdr:row>95</xdr:row>
                    <xdr:rowOff>104775</xdr:rowOff>
                  </from>
                  <to>
                    <xdr:col>2</xdr:col>
                    <xdr:colOff>485775</xdr:colOff>
                    <xdr:row>95</xdr:row>
                    <xdr:rowOff>333375</xdr:rowOff>
                  </to>
                </anchor>
              </controlPr>
            </control>
          </mc:Choice>
        </mc:AlternateContent>
        <mc:AlternateContent xmlns:mc="http://schemas.openxmlformats.org/markup-compatibility/2006">
          <mc:Choice Requires="x14">
            <control shapeId="8250" r:id="rId43" name="Check Box 58">
              <controlPr locked="0" defaultSize="0" autoFill="0" autoLine="0" autoPict="0">
                <anchor moveWithCells="1">
                  <from>
                    <xdr:col>2</xdr:col>
                    <xdr:colOff>180975</xdr:colOff>
                    <xdr:row>95</xdr:row>
                    <xdr:rowOff>266700</xdr:rowOff>
                  </from>
                  <to>
                    <xdr:col>2</xdr:col>
                    <xdr:colOff>485775</xdr:colOff>
                    <xdr:row>95</xdr:row>
                    <xdr:rowOff>495300</xdr:rowOff>
                  </to>
                </anchor>
              </controlPr>
            </control>
          </mc:Choice>
        </mc:AlternateContent>
        <mc:AlternateContent xmlns:mc="http://schemas.openxmlformats.org/markup-compatibility/2006">
          <mc:Choice Requires="x14">
            <control shapeId="8251" r:id="rId44" name="Check Box 59">
              <controlPr locked="0" defaultSize="0" autoFill="0" autoLine="0" autoPict="0">
                <anchor moveWithCells="1">
                  <from>
                    <xdr:col>2</xdr:col>
                    <xdr:colOff>180975</xdr:colOff>
                    <xdr:row>95</xdr:row>
                    <xdr:rowOff>504825</xdr:rowOff>
                  </from>
                  <to>
                    <xdr:col>2</xdr:col>
                    <xdr:colOff>485775</xdr:colOff>
                    <xdr:row>95</xdr:row>
                    <xdr:rowOff>723900</xdr:rowOff>
                  </to>
                </anchor>
              </controlPr>
            </control>
          </mc:Choice>
        </mc:AlternateContent>
        <mc:AlternateContent xmlns:mc="http://schemas.openxmlformats.org/markup-compatibility/2006">
          <mc:Choice Requires="x14">
            <control shapeId="8252" r:id="rId45" name="Check Box 60">
              <controlPr locked="0" defaultSize="0" autoFill="0" autoLine="0" autoPict="0">
                <anchor moveWithCells="1">
                  <from>
                    <xdr:col>2</xdr:col>
                    <xdr:colOff>180975</xdr:colOff>
                    <xdr:row>95</xdr:row>
                    <xdr:rowOff>638175</xdr:rowOff>
                  </from>
                  <to>
                    <xdr:col>2</xdr:col>
                    <xdr:colOff>485775</xdr:colOff>
                    <xdr:row>95</xdr:row>
                    <xdr:rowOff>866775</xdr:rowOff>
                  </to>
                </anchor>
              </controlPr>
            </control>
          </mc:Choice>
        </mc:AlternateContent>
        <mc:AlternateContent xmlns:mc="http://schemas.openxmlformats.org/markup-compatibility/2006">
          <mc:Choice Requires="x14">
            <control shapeId="8255" r:id="rId46" name="Check Box 63">
              <controlPr locked="0" defaultSize="0" autoFill="0" autoLine="0" autoPict="0">
                <anchor moveWithCells="1">
                  <from>
                    <xdr:col>2</xdr:col>
                    <xdr:colOff>180975</xdr:colOff>
                    <xdr:row>101</xdr:row>
                    <xdr:rowOff>133350</xdr:rowOff>
                  </from>
                  <to>
                    <xdr:col>2</xdr:col>
                    <xdr:colOff>485775</xdr:colOff>
                    <xdr:row>102</xdr:row>
                    <xdr:rowOff>180975</xdr:rowOff>
                  </to>
                </anchor>
              </controlPr>
            </control>
          </mc:Choice>
        </mc:AlternateContent>
        <mc:AlternateContent xmlns:mc="http://schemas.openxmlformats.org/markup-compatibility/2006">
          <mc:Choice Requires="x14">
            <control shapeId="8256" r:id="rId47" name="Check Box 64">
              <controlPr locked="0" defaultSize="0" autoFill="0" autoLine="0" autoPict="0">
                <anchor moveWithCells="1">
                  <from>
                    <xdr:col>2</xdr:col>
                    <xdr:colOff>180975</xdr:colOff>
                    <xdr:row>105</xdr:row>
                    <xdr:rowOff>123825</xdr:rowOff>
                  </from>
                  <to>
                    <xdr:col>2</xdr:col>
                    <xdr:colOff>485775</xdr:colOff>
                    <xdr:row>105</xdr:row>
                    <xdr:rowOff>333375</xdr:rowOff>
                  </to>
                </anchor>
              </controlPr>
            </control>
          </mc:Choice>
        </mc:AlternateContent>
        <mc:AlternateContent xmlns:mc="http://schemas.openxmlformats.org/markup-compatibility/2006">
          <mc:Choice Requires="x14">
            <control shapeId="8257" r:id="rId48" name="Check Box 65">
              <controlPr locked="0" defaultSize="0" autoFill="0" autoLine="0" autoPict="0">
                <anchor moveWithCells="1">
                  <from>
                    <xdr:col>2</xdr:col>
                    <xdr:colOff>180975</xdr:colOff>
                    <xdr:row>107</xdr:row>
                    <xdr:rowOff>104775</xdr:rowOff>
                  </from>
                  <to>
                    <xdr:col>2</xdr:col>
                    <xdr:colOff>485775</xdr:colOff>
                    <xdr:row>107</xdr:row>
                    <xdr:rowOff>323850</xdr:rowOff>
                  </to>
                </anchor>
              </controlPr>
            </control>
          </mc:Choice>
        </mc:AlternateContent>
        <mc:AlternateContent xmlns:mc="http://schemas.openxmlformats.org/markup-compatibility/2006">
          <mc:Choice Requires="x14">
            <control shapeId="8258" r:id="rId49" name="Check Box 66">
              <controlPr locked="0" defaultSize="0" autoFill="0" autoLine="0" autoPict="0">
                <anchor moveWithCells="1">
                  <from>
                    <xdr:col>2</xdr:col>
                    <xdr:colOff>180975</xdr:colOff>
                    <xdr:row>99</xdr:row>
                    <xdr:rowOff>47625</xdr:rowOff>
                  </from>
                  <to>
                    <xdr:col>2</xdr:col>
                    <xdr:colOff>485775</xdr:colOff>
                    <xdr:row>99</xdr:row>
                    <xdr:rowOff>257175</xdr:rowOff>
                  </to>
                </anchor>
              </controlPr>
            </control>
          </mc:Choice>
        </mc:AlternateContent>
        <mc:AlternateContent xmlns:mc="http://schemas.openxmlformats.org/markup-compatibility/2006">
          <mc:Choice Requires="x14">
            <control shapeId="8259" r:id="rId50" name="Check Box 67">
              <controlPr locked="0" defaultSize="0" autoFill="0" autoLine="0" autoPict="0">
                <anchor moveWithCells="1">
                  <from>
                    <xdr:col>2</xdr:col>
                    <xdr:colOff>180975</xdr:colOff>
                    <xdr:row>105</xdr:row>
                    <xdr:rowOff>247650</xdr:rowOff>
                  </from>
                  <to>
                    <xdr:col>2</xdr:col>
                    <xdr:colOff>485775</xdr:colOff>
                    <xdr:row>105</xdr:row>
                    <xdr:rowOff>476250</xdr:rowOff>
                  </to>
                </anchor>
              </controlPr>
            </control>
          </mc:Choice>
        </mc:AlternateContent>
        <mc:AlternateContent xmlns:mc="http://schemas.openxmlformats.org/markup-compatibility/2006">
          <mc:Choice Requires="x14">
            <control shapeId="8260" r:id="rId51" name="Check Box 68">
              <controlPr locked="0" defaultSize="0" autoFill="0" autoLine="0" autoPict="0">
                <anchor moveWithCells="1">
                  <from>
                    <xdr:col>2</xdr:col>
                    <xdr:colOff>180975</xdr:colOff>
                    <xdr:row>105</xdr:row>
                    <xdr:rowOff>381000</xdr:rowOff>
                  </from>
                  <to>
                    <xdr:col>2</xdr:col>
                    <xdr:colOff>485775</xdr:colOff>
                    <xdr:row>105</xdr:row>
                    <xdr:rowOff>609600</xdr:rowOff>
                  </to>
                </anchor>
              </controlPr>
            </control>
          </mc:Choice>
        </mc:AlternateContent>
        <mc:AlternateContent xmlns:mc="http://schemas.openxmlformats.org/markup-compatibility/2006">
          <mc:Choice Requires="x14">
            <control shapeId="8261" r:id="rId52" name="Check Box 69">
              <controlPr locked="0" defaultSize="0" autoFill="0" autoLine="0" autoPict="0">
                <anchor moveWithCells="1">
                  <from>
                    <xdr:col>2</xdr:col>
                    <xdr:colOff>180975</xdr:colOff>
                    <xdr:row>105</xdr:row>
                    <xdr:rowOff>514350</xdr:rowOff>
                  </from>
                  <to>
                    <xdr:col>2</xdr:col>
                    <xdr:colOff>485775</xdr:colOff>
                    <xdr:row>105</xdr:row>
                    <xdr:rowOff>733425</xdr:rowOff>
                  </to>
                </anchor>
              </controlPr>
            </control>
          </mc:Choice>
        </mc:AlternateContent>
        <mc:AlternateContent xmlns:mc="http://schemas.openxmlformats.org/markup-compatibility/2006">
          <mc:Choice Requires="x14">
            <control shapeId="8262" r:id="rId53" name="Check Box 70">
              <controlPr locked="0" defaultSize="0" autoFill="0" autoLine="0" autoPict="0">
                <anchor moveWithCells="1">
                  <from>
                    <xdr:col>2</xdr:col>
                    <xdr:colOff>180975</xdr:colOff>
                    <xdr:row>105</xdr:row>
                    <xdr:rowOff>638175</xdr:rowOff>
                  </from>
                  <to>
                    <xdr:col>2</xdr:col>
                    <xdr:colOff>485775</xdr:colOff>
                    <xdr:row>106</xdr:row>
                    <xdr:rowOff>28575</xdr:rowOff>
                  </to>
                </anchor>
              </controlPr>
            </control>
          </mc:Choice>
        </mc:AlternateContent>
        <mc:AlternateContent xmlns:mc="http://schemas.openxmlformats.org/markup-compatibility/2006">
          <mc:Choice Requires="x14">
            <control shapeId="8263" r:id="rId54" name="Check Box 71">
              <controlPr locked="0" defaultSize="0" autoFill="0" autoLine="0" autoPict="0">
                <anchor moveWithCells="1">
                  <from>
                    <xdr:col>4</xdr:col>
                    <xdr:colOff>142875</xdr:colOff>
                    <xdr:row>4</xdr:row>
                    <xdr:rowOff>114300</xdr:rowOff>
                  </from>
                  <to>
                    <xdr:col>4</xdr:col>
                    <xdr:colOff>447675</xdr:colOff>
                    <xdr:row>6</xdr:row>
                    <xdr:rowOff>38100</xdr:rowOff>
                  </to>
                </anchor>
              </controlPr>
            </control>
          </mc:Choice>
        </mc:AlternateContent>
        <mc:AlternateContent xmlns:mc="http://schemas.openxmlformats.org/markup-compatibility/2006">
          <mc:Choice Requires="x14">
            <control shapeId="8264" r:id="rId55" name="Check Box 72">
              <controlPr locked="0" defaultSize="0" autoFill="0" autoLine="0" autoPict="0">
                <anchor moveWithCells="1">
                  <from>
                    <xdr:col>4</xdr:col>
                    <xdr:colOff>142875</xdr:colOff>
                    <xdr:row>5</xdr:row>
                    <xdr:rowOff>114300</xdr:rowOff>
                  </from>
                  <to>
                    <xdr:col>4</xdr:col>
                    <xdr:colOff>447675</xdr:colOff>
                    <xdr:row>7</xdr:row>
                    <xdr:rowOff>38100</xdr:rowOff>
                  </to>
                </anchor>
              </controlPr>
            </control>
          </mc:Choice>
        </mc:AlternateContent>
        <mc:AlternateContent xmlns:mc="http://schemas.openxmlformats.org/markup-compatibility/2006">
          <mc:Choice Requires="x14">
            <control shapeId="8265" r:id="rId56" name="Check Box 73">
              <controlPr locked="0" defaultSize="0" autoFill="0" autoLine="0" autoPict="0">
                <anchor moveWithCells="1">
                  <from>
                    <xdr:col>4</xdr:col>
                    <xdr:colOff>142875</xdr:colOff>
                    <xdr:row>6</xdr:row>
                    <xdr:rowOff>114300</xdr:rowOff>
                  </from>
                  <to>
                    <xdr:col>4</xdr:col>
                    <xdr:colOff>447675</xdr:colOff>
                    <xdr:row>8</xdr:row>
                    <xdr:rowOff>38100</xdr:rowOff>
                  </to>
                </anchor>
              </controlPr>
            </control>
          </mc:Choice>
        </mc:AlternateContent>
        <mc:AlternateContent xmlns:mc="http://schemas.openxmlformats.org/markup-compatibility/2006">
          <mc:Choice Requires="x14">
            <control shapeId="8266" r:id="rId57" name="Check Box 74">
              <controlPr locked="0" defaultSize="0" autoFill="0" autoLine="0" autoPict="0">
                <anchor moveWithCells="1">
                  <from>
                    <xdr:col>4</xdr:col>
                    <xdr:colOff>142875</xdr:colOff>
                    <xdr:row>7</xdr:row>
                    <xdr:rowOff>114300</xdr:rowOff>
                  </from>
                  <to>
                    <xdr:col>4</xdr:col>
                    <xdr:colOff>447675</xdr:colOff>
                    <xdr:row>9</xdr:row>
                    <xdr:rowOff>28575</xdr:rowOff>
                  </to>
                </anchor>
              </controlPr>
            </control>
          </mc:Choice>
        </mc:AlternateContent>
        <mc:AlternateContent xmlns:mc="http://schemas.openxmlformats.org/markup-compatibility/2006">
          <mc:Choice Requires="x14">
            <control shapeId="8267" r:id="rId58" name="Check Box 75">
              <controlPr locked="0" defaultSize="0" autoFill="0" autoLine="0" autoPict="0">
                <anchor moveWithCells="1">
                  <from>
                    <xdr:col>4</xdr:col>
                    <xdr:colOff>142875</xdr:colOff>
                    <xdr:row>8</xdr:row>
                    <xdr:rowOff>133350</xdr:rowOff>
                  </from>
                  <to>
                    <xdr:col>4</xdr:col>
                    <xdr:colOff>447675</xdr:colOff>
                    <xdr:row>10</xdr:row>
                    <xdr:rowOff>28575</xdr:rowOff>
                  </to>
                </anchor>
              </controlPr>
            </control>
          </mc:Choice>
        </mc:AlternateContent>
        <mc:AlternateContent xmlns:mc="http://schemas.openxmlformats.org/markup-compatibility/2006">
          <mc:Choice Requires="x14">
            <control shapeId="8285" r:id="rId59" name="Check Box 93">
              <controlPr locked="0" defaultSize="0" autoFill="0" autoLine="0" autoPict="0">
                <anchor moveWithCells="1">
                  <from>
                    <xdr:col>2</xdr:col>
                    <xdr:colOff>180975</xdr:colOff>
                    <xdr:row>17</xdr:row>
                    <xdr:rowOff>276225</xdr:rowOff>
                  </from>
                  <to>
                    <xdr:col>2</xdr:col>
                    <xdr:colOff>485775</xdr:colOff>
                    <xdr:row>17</xdr:row>
                    <xdr:rowOff>447675</xdr:rowOff>
                  </to>
                </anchor>
              </controlPr>
            </control>
          </mc:Choice>
        </mc:AlternateContent>
        <mc:AlternateContent xmlns:mc="http://schemas.openxmlformats.org/markup-compatibility/2006">
          <mc:Choice Requires="x14">
            <control shapeId="8303" r:id="rId60" name="Check Box 111">
              <controlPr locked="0" defaultSize="0" autoFill="0" autoLine="0" autoPict="0">
                <anchor moveWithCells="1">
                  <from>
                    <xdr:col>2</xdr:col>
                    <xdr:colOff>180975</xdr:colOff>
                    <xdr:row>17</xdr:row>
                    <xdr:rowOff>142875</xdr:rowOff>
                  </from>
                  <to>
                    <xdr:col>2</xdr:col>
                    <xdr:colOff>485775</xdr:colOff>
                    <xdr:row>17</xdr:row>
                    <xdr:rowOff>314325</xdr:rowOff>
                  </to>
                </anchor>
              </controlPr>
            </control>
          </mc:Choice>
        </mc:AlternateContent>
        <mc:AlternateContent xmlns:mc="http://schemas.openxmlformats.org/markup-compatibility/2006">
          <mc:Choice Requires="x14">
            <control shapeId="8304" r:id="rId61" name="Check Box 112">
              <controlPr locked="0" defaultSize="0" autoFill="0" autoLine="0" autoPict="0">
                <anchor moveWithCells="1">
                  <from>
                    <xdr:col>2</xdr:col>
                    <xdr:colOff>180975</xdr:colOff>
                    <xdr:row>82</xdr:row>
                    <xdr:rowOff>38100</xdr:rowOff>
                  </from>
                  <to>
                    <xdr:col>2</xdr:col>
                    <xdr:colOff>485775</xdr:colOff>
                    <xdr:row>82</xdr:row>
                    <xdr:rowOff>266700</xdr:rowOff>
                  </to>
                </anchor>
              </controlPr>
            </control>
          </mc:Choice>
        </mc:AlternateContent>
        <mc:AlternateContent xmlns:mc="http://schemas.openxmlformats.org/markup-compatibility/2006">
          <mc:Choice Requires="x14">
            <control shapeId="8306" r:id="rId62" name="Check Box 114">
              <controlPr locked="0" defaultSize="0" autoFill="0" autoLine="0" autoPict="0">
                <anchor moveWithCells="1">
                  <from>
                    <xdr:col>2</xdr:col>
                    <xdr:colOff>190500</xdr:colOff>
                    <xdr:row>93</xdr:row>
                    <xdr:rowOff>523875</xdr:rowOff>
                  </from>
                  <to>
                    <xdr:col>2</xdr:col>
                    <xdr:colOff>495300</xdr:colOff>
                    <xdr:row>93</xdr:row>
                    <xdr:rowOff>742950</xdr:rowOff>
                  </to>
                </anchor>
              </controlPr>
            </control>
          </mc:Choice>
        </mc:AlternateContent>
        <mc:AlternateContent xmlns:mc="http://schemas.openxmlformats.org/markup-compatibility/2006">
          <mc:Choice Requires="x14">
            <control shapeId="8307" r:id="rId63" name="Check Box 115">
              <controlPr locked="0" defaultSize="0" autoFill="0" autoLine="0" autoPict="0">
                <anchor moveWithCells="1">
                  <from>
                    <xdr:col>2</xdr:col>
                    <xdr:colOff>190500</xdr:colOff>
                    <xdr:row>93</xdr:row>
                    <xdr:rowOff>657225</xdr:rowOff>
                  </from>
                  <to>
                    <xdr:col>2</xdr:col>
                    <xdr:colOff>485775</xdr:colOff>
                    <xdr:row>93</xdr:row>
                    <xdr:rowOff>876300</xdr:rowOff>
                  </to>
                </anchor>
              </controlPr>
            </control>
          </mc:Choice>
        </mc:AlternateContent>
        <mc:AlternateContent xmlns:mc="http://schemas.openxmlformats.org/markup-compatibility/2006">
          <mc:Choice Requires="x14">
            <control shapeId="8309" r:id="rId64" name="Check Box 117">
              <controlPr locked="0" defaultSize="0" autoFill="0" autoLine="0" autoPict="0">
                <anchor moveWithCells="1">
                  <from>
                    <xdr:col>2</xdr:col>
                    <xdr:colOff>123825</xdr:colOff>
                    <xdr:row>53</xdr:row>
                    <xdr:rowOff>57150</xdr:rowOff>
                  </from>
                  <to>
                    <xdr:col>2</xdr:col>
                    <xdr:colOff>428625</xdr:colOff>
                    <xdr:row>55</xdr:row>
                    <xdr:rowOff>66675</xdr:rowOff>
                  </to>
                </anchor>
              </controlPr>
            </control>
          </mc:Choice>
        </mc:AlternateContent>
        <mc:AlternateContent xmlns:mc="http://schemas.openxmlformats.org/markup-compatibility/2006">
          <mc:Choice Requires="x14">
            <control shapeId="8317" r:id="rId65" name="Check Box 125">
              <controlPr locked="0" defaultSize="0" autoFill="0" autoLine="0" autoPict="0">
                <anchor moveWithCells="1">
                  <from>
                    <xdr:col>2</xdr:col>
                    <xdr:colOff>190500</xdr:colOff>
                    <xdr:row>88</xdr:row>
                    <xdr:rowOff>352425</xdr:rowOff>
                  </from>
                  <to>
                    <xdr:col>2</xdr:col>
                    <xdr:colOff>495300</xdr:colOff>
                    <xdr:row>88</xdr:row>
                    <xdr:rowOff>581025</xdr:rowOff>
                  </to>
                </anchor>
              </controlPr>
            </control>
          </mc:Choice>
        </mc:AlternateContent>
        <mc:AlternateContent xmlns:mc="http://schemas.openxmlformats.org/markup-compatibility/2006">
          <mc:Choice Requires="x14">
            <control shapeId="8318" r:id="rId66" name="Check Box 126">
              <controlPr locked="0" defaultSize="0" autoFill="0" autoLine="0" autoPict="0">
                <anchor moveWithCells="1">
                  <from>
                    <xdr:col>2</xdr:col>
                    <xdr:colOff>190500</xdr:colOff>
                    <xdr:row>88</xdr:row>
                    <xdr:rowOff>504825</xdr:rowOff>
                  </from>
                  <to>
                    <xdr:col>2</xdr:col>
                    <xdr:colOff>495300</xdr:colOff>
                    <xdr:row>89</xdr:row>
                    <xdr:rowOff>28575</xdr:rowOff>
                  </to>
                </anchor>
              </controlPr>
            </control>
          </mc:Choice>
        </mc:AlternateContent>
        <mc:AlternateContent xmlns:mc="http://schemas.openxmlformats.org/markup-compatibility/2006">
          <mc:Choice Requires="x14">
            <control shapeId="8238" r:id="rId67" name="Check Box 46">
              <controlPr locked="0" defaultSize="0" autoFill="0" autoLine="0" autoPict="0">
                <anchor moveWithCells="1">
                  <from>
                    <xdr:col>2</xdr:col>
                    <xdr:colOff>180975</xdr:colOff>
                    <xdr:row>68</xdr:row>
                    <xdr:rowOff>133350</xdr:rowOff>
                  </from>
                  <to>
                    <xdr:col>2</xdr:col>
                    <xdr:colOff>485775</xdr:colOff>
                    <xdr:row>69</xdr:row>
                    <xdr:rowOff>190500</xdr:rowOff>
                  </to>
                </anchor>
              </controlPr>
            </control>
          </mc:Choice>
        </mc:AlternateContent>
        <mc:AlternateContent xmlns:mc="http://schemas.openxmlformats.org/markup-compatibility/2006">
          <mc:Choice Requires="x14">
            <control shapeId="8319" r:id="rId68" name="Check Box 127">
              <controlPr locked="0" defaultSize="0" autoFill="0" autoLine="0" autoPict="0">
                <anchor moveWithCells="1">
                  <from>
                    <xdr:col>2</xdr:col>
                    <xdr:colOff>171450</xdr:colOff>
                    <xdr:row>96</xdr:row>
                    <xdr:rowOff>152400</xdr:rowOff>
                  </from>
                  <to>
                    <xdr:col>2</xdr:col>
                    <xdr:colOff>476250</xdr:colOff>
                    <xdr:row>98</xdr:row>
                    <xdr:rowOff>19050</xdr:rowOff>
                  </to>
                </anchor>
              </controlPr>
            </control>
          </mc:Choice>
        </mc:AlternateContent>
        <mc:AlternateContent xmlns:mc="http://schemas.openxmlformats.org/markup-compatibility/2006">
          <mc:Choice Requires="x14">
            <control shapeId="8323" r:id="rId69" name="Check Box 131">
              <controlPr locked="0" defaultSize="0" autoFill="0" autoLine="0" autoPict="0">
                <anchor moveWithCells="1">
                  <from>
                    <xdr:col>2</xdr:col>
                    <xdr:colOff>200025</xdr:colOff>
                    <xdr:row>89</xdr:row>
                    <xdr:rowOff>104775</xdr:rowOff>
                  </from>
                  <to>
                    <xdr:col>2</xdr:col>
                    <xdr:colOff>504825</xdr:colOff>
                    <xdr:row>91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58"/>
  <sheetViews>
    <sheetView view="pageBreakPreview" topLeftCell="A37" zoomScale="130" zoomScaleNormal="100" zoomScaleSheetLayoutView="130" workbookViewId="0">
      <selection activeCell="C38" sqref="C38"/>
    </sheetView>
  </sheetViews>
  <sheetFormatPr defaultColWidth="9.140625" defaultRowHeight="12.75" x14ac:dyDescent="0.2"/>
  <cols>
    <col min="1" max="1" width="6" style="3" customWidth="1"/>
    <col min="2" max="2" width="45.7109375" style="3" customWidth="1"/>
    <col min="3" max="3" width="7.5703125" style="3" customWidth="1"/>
    <col min="4" max="4" width="9.5703125" style="3" customWidth="1"/>
    <col min="5" max="5" width="7.5703125" style="3" bestFit="1" customWidth="1"/>
    <col min="6" max="6" width="12.7109375" style="3" customWidth="1"/>
    <col min="7" max="7" width="11.7109375" style="135" hidden="1" customWidth="1"/>
    <col min="8" max="16" width="9.140625" style="135" hidden="1" customWidth="1"/>
    <col min="17" max="1024" width="11.5703125" style="3"/>
    <col min="1025" max="16384" width="9.140625" style="3"/>
  </cols>
  <sheetData>
    <row r="1" spans="1:16" x14ac:dyDescent="0.2">
      <c r="A1" s="22" t="s">
        <v>111</v>
      </c>
      <c r="B1" s="23"/>
      <c r="C1" s="23"/>
      <c r="D1" s="23"/>
      <c r="E1" s="23"/>
      <c r="F1" s="23"/>
    </row>
    <row r="2" spans="1:16" x14ac:dyDescent="0.2">
      <c r="A2" s="18"/>
      <c r="B2" s="18"/>
      <c r="C2" s="18"/>
      <c r="D2" s="18"/>
      <c r="E2" s="18"/>
      <c r="F2" s="18"/>
    </row>
    <row r="3" spans="1:16" s="90" customFormat="1" ht="26.25" customHeight="1" x14ac:dyDescent="0.2">
      <c r="A3" s="129">
        <v>5.0999999999999996</v>
      </c>
      <c r="B3" s="119" t="s">
        <v>112</v>
      </c>
      <c r="C3" s="119"/>
      <c r="D3" s="149" t="s">
        <v>189</v>
      </c>
      <c r="E3" s="149" t="s">
        <v>87</v>
      </c>
      <c r="F3" s="270" t="s">
        <v>85</v>
      </c>
      <c r="G3" s="379"/>
      <c r="H3" s="379"/>
      <c r="I3" s="379"/>
      <c r="J3" s="379"/>
      <c r="K3" s="379"/>
      <c r="L3" s="379"/>
      <c r="M3" s="379"/>
      <c r="N3" s="379"/>
      <c r="O3" s="379"/>
      <c r="P3" s="379"/>
    </row>
    <row r="4" spans="1:16" s="7" customFormat="1" x14ac:dyDescent="0.2">
      <c r="A4" s="57"/>
      <c r="B4" s="57" t="s">
        <v>0</v>
      </c>
      <c r="C4" s="57"/>
      <c r="D4" s="57">
        <v>15</v>
      </c>
      <c r="E4" s="57">
        <f>MIN(15,SUM(E5:E9))</f>
        <v>0</v>
      </c>
      <c r="F4" s="284"/>
      <c r="G4" s="380"/>
      <c r="H4" s="380"/>
      <c r="I4" s="380"/>
      <c r="J4" s="380"/>
      <c r="K4" s="380"/>
      <c r="L4" s="380"/>
      <c r="M4" s="380"/>
      <c r="N4" s="380"/>
      <c r="O4" s="380"/>
      <c r="P4" s="380"/>
    </row>
    <row r="5" spans="1:16" x14ac:dyDescent="0.2">
      <c r="A5" s="19">
        <v>1</v>
      </c>
      <c r="B5" s="151" t="s">
        <v>113</v>
      </c>
      <c r="C5" s="360"/>
      <c r="D5" s="19">
        <v>8</v>
      </c>
      <c r="E5" s="19">
        <f>'Part 1 - CRD'!E90</f>
        <v>0</v>
      </c>
      <c r="F5" s="285"/>
    </row>
    <row r="6" spans="1:16" x14ac:dyDescent="0.2">
      <c r="A6" s="19">
        <v>2</v>
      </c>
      <c r="B6" s="19" t="s">
        <v>114</v>
      </c>
      <c r="C6" s="361"/>
      <c r="D6" s="243" t="s">
        <v>357</v>
      </c>
      <c r="E6" s="19">
        <f>'Part 2 - BEP'!E73</f>
        <v>0</v>
      </c>
      <c r="F6" s="285"/>
    </row>
    <row r="7" spans="1:16" x14ac:dyDescent="0.2">
      <c r="A7" s="19">
        <v>3</v>
      </c>
      <c r="B7" s="19" t="s">
        <v>115</v>
      </c>
      <c r="C7" s="361"/>
      <c r="D7" s="19">
        <v>8</v>
      </c>
      <c r="E7" s="19">
        <f>'Part 3 - RS'!E77</f>
        <v>0</v>
      </c>
      <c r="F7" s="285"/>
    </row>
    <row r="8" spans="1:16" x14ac:dyDescent="0.2">
      <c r="A8" s="19">
        <v>4</v>
      </c>
      <c r="B8" s="19" t="s">
        <v>116</v>
      </c>
      <c r="C8" s="361"/>
      <c r="D8" s="19">
        <v>10</v>
      </c>
      <c r="E8" s="19">
        <f>'Part 4 - SHB'!E111</f>
        <v>0</v>
      </c>
      <c r="F8" s="285"/>
    </row>
    <row r="9" spans="1:16" s="148" customFormat="1" x14ac:dyDescent="0.2">
      <c r="A9" s="147"/>
      <c r="B9" s="147" t="s">
        <v>117</v>
      </c>
      <c r="C9" s="157">
        <f>SUM(E12:E34)</f>
        <v>0</v>
      </c>
      <c r="D9" s="147">
        <v>15</v>
      </c>
      <c r="E9" s="147">
        <f>C9</f>
        <v>0</v>
      </c>
      <c r="F9" s="286"/>
      <c r="G9" s="156"/>
      <c r="H9" s="156"/>
      <c r="I9" s="156"/>
      <c r="J9" s="156"/>
      <c r="K9" s="156"/>
      <c r="L9" s="156"/>
      <c r="M9" s="156"/>
      <c r="N9" s="156"/>
      <c r="O9" s="156"/>
      <c r="P9" s="156"/>
    </row>
    <row r="10" spans="1:16" s="148" customFormat="1" x14ac:dyDescent="0.2">
      <c r="A10" s="392"/>
      <c r="B10" s="392"/>
      <c r="C10" s="393"/>
      <c r="D10" s="392"/>
      <c r="E10" s="392"/>
      <c r="F10" s="394"/>
      <c r="G10" s="156"/>
      <c r="H10" s="156"/>
      <c r="I10" s="156"/>
      <c r="J10" s="156"/>
      <c r="K10" s="156"/>
      <c r="L10" s="156"/>
      <c r="M10" s="156"/>
      <c r="N10" s="156"/>
      <c r="O10" s="156"/>
      <c r="P10" s="156"/>
    </row>
    <row r="11" spans="1:16" s="148" customFormat="1" x14ac:dyDescent="0.2">
      <c r="A11" s="392"/>
      <c r="B11" s="395" t="s">
        <v>410</v>
      </c>
      <c r="C11" s="393"/>
      <c r="D11" s="392"/>
      <c r="E11" s="392"/>
      <c r="F11" s="394"/>
      <c r="G11" s="156"/>
      <c r="H11" s="156"/>
      <c r="I11" s="156"/>
      <c r="J11" s="156"/>
      <c r="K11" s="156"/>
      <c r="L11" s="156"/>
      <c r="M11" s="156"/>
      <c r="N11" s="156"/>
      <c r="O11" s="156"/>
      <c r="P11" s="156"/>
    </row>
    <row r="12" spans="1:16" s="148" customFormat="1" x14ac:dyDescent="0.2">
      <c r="A12" s="392"/>
      <c r="B12" s="392" t="s">
        <v>412</v>
      </c>
      <c r="C12" s="393"/>
      <c r="D12" s="392">
        <v>2</v>
      </c>
      <c r="E12" s="392">
        <f>IF(G12,2,0)</f>
        <v>0</v>
      </c>
      <c r="F12" s="394"/>
      <c r="G12" s="156" t="b">
        <v>0</v>
      </c>
      <c r="H12" s="156"/>
      <c r="I12" s="156"/>
      <c r="J12" s="156"/>
      <c r="K12" s="156"/>
      <c r="L12" s="156"/>
      <c r="M12" s="156"/>
      <c r="N12" s="156"/>
      <c r="O12" s="156"/>
      <c r="P12" s="156"/>
    </row>
    <row r="13" spans="1:16" s="148" customFormat="1" x14ac:dyDescent="0.2">
      <c r="A13" s="392"/>
      <c r="B13" s="392" t="s">
        <v>420</v>
      </c>
      <c r="C13" s="393"/>
      <c r="D13" s="392"/>
      <c r="E13" s="392"/>
      <c r="F13" s="394"/>
      <c r="G13" s="156"/>
      <c r="H13" s="156"/>
      <c r="I13" s="156"/>
      <c r="J13" s="156"/>
      <c r="K13" s="156"/>
      <c r="L13" s="156"/>
      <c r="M13" s="156"/>
      <c r="N13" s="156"/>
      <c r="O13" s="156"/>
      <c r="P13" s="156"/>
    </row>
    <row r="14" spans="1:16" s="148" customFormat="1" x14ac:dyDescent="0.2">
      <c r="A14" s="392"/>
      <c r="B14" s="396"/>
      <c r="C14" s="393">
        <f>IF(B14="",0,2)</f>
        <v>0</v>
      </c>
      <c r="D14" s="392">
        <v>2</v>
      </c>
      <c r="E14" s="392">
        <f>C14</f>
        <v>0</v>
      </c>
      <c r="F14" s="394"/>
      <c r="G14" s="156"/>
      <c r="H14" s="156"/>
      <c r="I14" s="156"/>
      <c r="J14" s="156"/>
      <c r="K14" s="156"/>
      <c r="L14" s="156"/>
      <c r="M14" s="156"/>
      <c r="N14" s="156"/>
      <c r="O14" s="156"/>
      <c r="P14" s="156"/>
    </row>
    <row r="15" spans="1:16" s="148" customFormat="1" x14ac:dyDescent="0.2">
      <c r="A15" s="392"/>
      <c r="B15" s="396"/>
      <c r="C15" s="393">
        <f>IF(B15="",0,2)</f>
        <v>0</v>
      </c>
      <c r="D15" s="392">
        <v>2</v>
      </c>
      <c r="E15" s="392">
        <f t="shared" ref="E15:E16" si="0">C15</f>
        <v>0</v>
      </c>
      <c r="F15" s="394"/>
      <c r="G15" s="156"/>
      <c r="H15" s="156"/>
      <c r="I15" s="156"/>
      <c r="J15" s="156"/>
      <c r="K15" s="156"/>
      <c r="L15" s="156"/>
      <c r="M15" s="156"/>
      <c r="N15" s="156"/>
      <c r="O15" s="156"/>
      <c r="P15" s="156"/>
    </row>
    <row r="16" spans="1:16" s="148" customFormat="1" x14ac:dyDescent="0.2">
      <c r="A16" s="392"/>
      <c r="B16" s="396"/>
      <c r="C16" s="393">
        <f>IF(B16="",0,2)</f>
        <v>0</v>
      </c>
      <c r="D16" s="392">
        <v>2</v>
      </c>
      <c r="E16" s="392">
        <f t="shared" si="0"/>
        <v>0</v>
      </c>
      <c r="F16" s="394"/>
      <c r="G16" s="156"/>
      <c r="H16" s="156"/>
      <c r="I16" s="156"/>
      <c r="J16" s="156"/>
      <c r="K16" s="156"/>
      <c r="L16" s="156"/>
      <c r="M16" s="156"/>
      <c r="N16" s="156"/>
      <c r="O16" s="156"/>
      <c r="P16" s="156"/>
    </row>
    <row r="17" spans="1:16" s="148" customFormat="1" x14ac:dyDescent="0.2">
      <c r="A17" s="392"/>
      <c r="B17" s="392"/>
      <c r="C17" s="393"/>
      <c r="D17" s="392"/>
      <c r="E17" s="392"/>
      <c r="F17" s="394"/>
      <c r="G17" s="156"/>
      <c r="H17" s="156"/>
      <c r="I17" s="156"/>
      <c r="J17" s="156"/>
      <c r="K17" s="156"/>
      <c r="L17" s="156"/>
      <c r="M17" s="156"/>
      <c r="N17" s="156"/>
      <c r="O17" s="156"/>
      <c r="P17" s="156"/>
    </row>
    <row r="18" spans="1:16" s="148" customFormat="1" x14ac:dyDescent="0.2">
      <c r="A18" s="392"/>
      <c r="B18" s="395" t="s">
        <v>411</v>
      </c>
      <c r="C18" s="393"/>
      <c r="D18" s="392"/>
      <c r="E18" s="392"/>
      <c r="F18" s="394"/>
      <c r="G18" s="156"/>
      <c r="H18" s="156"/>
      <c r="I18" s="156"/>
      <c r="J18" s="156"/>
      <c r="K18" s="156"/>
      <c r="L18" s="156"/>
      <c r="M18" s="156"/>
      <c r="N18" s="156"/>
      <c r="O18" s="156"/>
      <c r="P18" s="156"/>
    </row>
    <row r="19" spans="1:16" s="148" customFormat="1" x14ac:dyDescent="0.2">
      <c r="A19" s="392"/>
      <c r="B19" s="392" t="s">
        <v>413</v>
      </c>
      <c r="C19" s="393"/>
      <c r="D19" s="392">
        <v>1</v>
      </c>
      <c r="E19" s="392">
        <f>IF(G19,2,0)</f>
        <v>0</v>
      </c>
      <c r="F19" s="394"/>
      <c r="G19" s="156" t="b">
        <v>0</v>
      </c>
      <c r="H19" s="156"/>
      <c r="I19" s="156"/>
      <c r="J19" s="156"/>
      <c r="K19" s="156"/>
      <c r="L19" s="156"/>
      <c r="M19" s="156"/>
      <c r="N19" s="156"/>
      <c r="O19" s="156"/>
      <c r="P19" s="156"/>
    </row>
    <row r="20" spans="1:16" s="148" customFormat="1" ht="48" x14ac:dyDescent="0.2">
      <c r="A20" s="392"/>
      <c r="B20" s="392" t="s">
        <v>414</v>
      </c>
      <c r="C20" s="393"/>
      <c r="D20" s="392">
        <v>1</v>
      </c>
      <c r="E20" s="392">
        <f>IF(G20,2,0)</f>
        <v>0</v>
      </c>
      <c r="F20" s="394"/>
      <c r="G20" s="156" t="b">
        <v>0</v>
      </c>
      <c r="H20" s="156"/>
      <c r="I20" s="156"/>
      <c r="J20" s="156"/>
      <c r="K20" s="156"/>
      <c r="L20" s="156"/>
      <c r="M20" s="156"/>
      <c r="N20" s="156"/>
      <c r="O20" s="156"/>
      <c r="P20" s="156"/>
    </row>
    <row r="21" spans="1:16" s="148" customFormat="1" x14ac:dyDescent="0.2">
      <c r="A21" s="392"/>
      <c r="B21" s="392" t="s">
        <v>415</v>
      </c>
      <c r="C21" s="393"/>
      <c r="D21" s="392">
        <v>1</v>
      </c>
      <c r="E21" s="392">
        <f>IF(G21,2,0)</f>
        <v>0</v>
      </c>
      <c r="F21" s="394"/>
      <c r="G21" s="156" t="b">
        <v>0</v>
      </c>
      <c r="H21" s="156"/>
      <c r="I21" s="156"/>
      <c r="J21" s="156"/>
      <c r="K21" s="156"/>
      <c r="L21" s="156"/>
      <c r="M21" s="156"/>
      <c r="N21" s="156"/>
      <c r="O21" s="156"/>
      <c r="P21" s="156"/>
    </row>
    <row r="22" spans="1:16" s="148" customFormat="1" x14ac:dyDescent="0.2">
      <c r="A22" s="392"/>
      <c r="B22" s="392" t="s">
        <v>416</v>
      </c>
      <c r="C22" s="393"/>
      <c r="D22" s="392">
        <v>1</v>
      </c>
      <c r="E22" s="392">
        <f>IF(G22,2,0)</f>
        <v>0</v>
      </c>
      <c r="F22" s="394"/>
      <c r="G22" s="156" t="b">
        <v>0</v>
      </c>
      <c r="H22" s="156"/>
      <c r="I22" s="156"/>
      <c r="J22" s="156"/>
      <c r="K22" s="156"/>
      <c r="L22" s="156"/>
      <c r="M22" s="156"/>
      <c r="N22" s="156"/>
      <c r="O22" s="156"/>
      <c r="P22" s="156"/>
    </row>
    <row r="23" spans="1:16" s="148" customFormat="1" x14ac:dyDescent="0.2">
      <c r="A23" s="392"/>
      <c r="B23" s="392" t="s">
        <v>420</v>
      </c>
      <c r="C23" s="393"/>
      <c r="D23" s="392"/>
      <c r="E23" s="392"/>
      <c r="F23" s="394"/>
      <c r="G23" s="156"/>
      <c r="H23" s="156"/>
      <c r="I23" s="156"/>
      <c r="J23" s="156"/>
      <c r="K23" s="156"/>
      <c r="L23" s="156"/>
      <c r="M23" s="156"/>
      <c r="N23" s="156"/>
      <c r="O23" s="156"/>
      <c r="P23" s="156"/>
    </row>
    <row r="24" spans="1:16" s="148" customFormat="1" x14ac:dyDescent="0.2">
      <c r="A24" s="392"/>
      <c r="B24" s="396"/>
      <c r="C24" s="393">
        <f>IF(B24="",0,1)</f>
        <v>0</v>
      </c>
      <c r="D24" s="392">
        <v>1</v>
      </c>
      <c r="E24" s="392">
        <f>C24</f>
        <v>0</v>
      </c>
      <c r="F24" s="394"/>
      <c r="G24" s="156"/>
      <c r="H24" s="156"/>
      <c r="I24" s="156"/>
      <c r="J24" s="156"/>
      <c r="K24" s="156"/>
      <c r="L24" s="156"/>
      <c r="M24" s="156"/>
      <c r="N24" s="156"/>
      <c r="O24" s="156"/>
      <c r="P24" s="156"/>
    </row>
    <row r="25" spans="1:16" s="148" customFormat="1" x14ac:dyDescent="0.2">
      <c r="A25" s="392"/>
      <c r="B25" s="396"/>
      <c r="C25" s="393">
        <f t="shared" ref="C25:C26" si="1">IF(B25="",0,1)</f>
        <v>0</v>
      </c>
      <c r="D25" s="392">
        <v>1</v>
      </c>
      <c r="E25" s="392">
        <f t="shared" ref="E25:E26" si="2">C25</f>
        <v>0</v>
      </c>
      <c r="F25" s="394"/>
      <c r="G25" s="156"/>
      <c r="H25" s="156"/>
      <c r="I25" s="156"/>
      <c r="J25" s="156"/>
      <c r="K25" s="156"/>
      <c r="L25" s="156"/>
      <c r="M25" s="156"/>
      <c r="N25" s="156"/>
      <c r="O25" s="156"/>
      <c r="P25" s="156"/>
    </row>
    <row r="26" spans="1:16" s="148" customFormat="1" x14ac:dyDescent="0.2">
      <c r="A26" s="392"/>
      <c r="B26" s="396"/>
      <c r="C26" s="393">
        <f t="shared" si="1"/>
        <v>0</v>
      </c>
      <c r="D26" s="392">
        <v>1</v>
      </c>
      <c r="E26" s="392">
        <f t="shared" si="2"/>
        <v>0</v>
      </c>
      <c r="F26" s="394"/>
      <c r="G26" s="156"/>
      <c r="H26" s="156"/>
      <c r="I26" s="156"/>
      <c r="J26" s="156"/>
      <c r="K26" s="156"/>
      <c r="L26" s="156"/>
      <c r="M26" s="156"/>
      <c r="N26" s="156"/>
      <c r="O26" s="156"/>
      <c r="P26" s="156"/>
    </row>
    <row r="27" spans="1:16" s="148" customFormat="1" x14ac:dyDescent="0.2">
      <c r="A27" s="392"/>
      <c r="B27" s="392"/>
      <c r="C27" s="393"/>
      <c r="D27" s="392"/>
      <c r="E27" s="392"/>
      <c r="F27" s="394"/>
      <c r="G27" s="156"/>
      <c r="H27" s="156"/>
      <c r="I27" s="156"/>
      <c r="J27" s="156"/>
      <c r="K27" s="156"/>
      <c r="L27" s="156"/>
      <c r="M27" s="156"/>
      <c r="N27" s="156"/>
      <c r="O27" s="156"/>
      <c r="P27" s="156"/>
    </row>
    <row r="28" spans="1:16" s="148" customFormat="1" x14ac:dyDescent="0.2">
      <c r="A28" s="392"/>
      <c r="B28" s="395" t="s">
        <v>417</v>
      </c>
      <c r="C28" s="393"/>
      <c r="D28" s="392"/>
      <c r="E28" s="392"/>
      <c r="F28" s="394"/>
      <c r="G28" s="156"/>
      <c r="H28" s="156"/>
      <c r="I28" s="156"/>
      <c r="J28" s="156"/>
      <c r="K28" s="156"/>
      <c r="L28" s="156"/>
      <c r="M28" s="156"/>
      <c r="N28" s="156"/>
      <c r="O28" s="156"/>
      <c r="P28" s="156"/>
    </row>
    <row r="29" spans="1:16" s="148" customFormat="1" x14ac:dyDescent="0.2">
      <c r="A29" s="392"/>
      <c r="B29" s="392" t="s">
        <v>418</v>
      </c>
      <c r="C29" s="393"/>
      <c r="D29" s="392">
        <v>0.5</v>
      </c>
      <c r="E29" s="392">
        <f>IF(G29,2,0)</f>
        <v>0</v>
      </c>
      <c r="F29" s="394"/>
      <c r="G29" s="156" t="b">
        <v>0</v>
      </c>
      <c r="H29" s="156"/>
      <c r="I29" s="156"/>
      <c r="J29" s="156"/>
      <c r="K29" s="156"/>
      <c r="L29" s="156"/>
      <c r="M29" s="156"/>
      <c r="N29" s="156"/>
      <c r="O29" s="156"/>
      <c r="P29" s="156"/>
    </row>
    <row r="30" spans="1:16" s="148" customFormat="1" ht="24" x14ac:dyDescent="0.2">
      <c r="A30" s="392"/>
      <c r="B30" s="392" t="s">
        <v>419</v>
      </c>
      <c r="C30" s="393"/>
      <c r="D30" s="392">
        <v>0.5</v>
      </c>
      <c r="E30" s="392">
        <f>IF(G30,2,0)</f>
        <v>0</v>
      </c>
      <c r="F30" s="394"/>
      <c r="G30" s="156" t="b">
        <v>0</v>
      </c>
      <c r="H30" s="156"/>
      <c r="I30" s="156"/>
      <c r="J30" s="156"/>
      <c r="K30" s="156"/>
      <c r="L30" s="156"/>
      <c r="M30" s="156"/>
      <c r="N30" s="156"/>
      <c r="O30" s="156"/>
      <c r="P30" s="156"/>
    </row>
    <row r="31" spans="1:16" s="148" customFormat="1" x14ac:dyDescent="0.2">
      <c r="A31" s="392"/>
      <c r="B31" s="392" t="s">
        <v>420</v>
      </c>
      <c r="C31" s="393"/>
      <c r="D31" s="392"/>
      <c r="E31" s="392"/>
      <c r="F31" s="394"/>
      <c r="G31" s="156"/>
      <c r="H31" s="156"/>
      <c r="I31" s="156"/>
      <c r="J31" s="156"/>
      <c r="K31" s="156"/>
      <c r="L31" s="156"/>
      <c r="M31" s="156"/>
      <c r="N31" s="156"/>
      <c r="O31" s="156"/>
      <c r="P31" s="156"/>
    </row>
    <row r="32" spans="1:16" s="148" customFormat="1" x14ac:dyDescent="0.2">
      <c r="A32" s="392"/>
      <c r="B32" s="396"/>
      <c r="C32" s="393">
        <f>IF(B32="",0,0.5)</f>
        <v>0</v>
      </c>
      <c r="D32" s="392">
        <v>0.5</v>
      </c>
      <c r="E32" s="392">
        <f>C32</f>
        <v>0</v>
      </c>
      <c r="F32" s="394"/>
      <c r="G32" s="156"/>
      <c r="H32" s="156"/>
      <c r="I32" s="156"/>
      <c r="J32" s="156"/>
      <c r="K32" s="156"/>
      <c r="L32" s="156"/>
      <c r="M32" s="156"/>
      <c r="N32" s="156"/>
      <c r="O32" s="156"/>
      <c r="P32" s="156"/>
    </row>
    <row r="33" spans="1:16" s="148" customFormat="1" x14ac:dyDescent="0.2">
      <c r="A33" s="392"/>
      <c r="B33" s="396"/>
      <c r="C33" s="393">
        <f>IF(B33="",0,0.5)</f>
        <v>0</v>
      </c>
      <c r="D33" s="392">
        <v>0.5</v>
      </c>
      <c r="E33" s="392">
        <f t="shared" ref="E33:E34" si="3">C33</f>
        <v>0</v>
      </c>
      <c r="F33" s="394"/>
      <c r="G33" s="156"/>
      <c r="H33" s="156"/>
      <c r="I33" s="156"/>
      <c r="J33" s="156"/>
      <c r="K33" s="156"/>
      <c r="L33" s="156"/>
      <c r="M33" s="156"/>
      <c r="N33" s="156"/>
      <c r="O33" s="156"/>
      <c r="P33" s="156"/>
    </row>
    <row r="34" spans="1:16" s="148" customFormat="1" x14ac:dyDescent="0.2">
      <c r="A34" s="392"/>
      <c r="B34" s="396"/>
      <c r="C34" s="393">
        <f>IF(B34="",0,0.5)</f>
        <v>0</v>
      </c>
      <c r="D34" s="392">
        <v>0.5</v>
      </c>
      <c r="E34" s="392">
        <f t="shared" si="3"/>
        <v>0</v>
      </c>
      <c r="F34" s="394"/>
      <c r="G34" s="156"/>
      <c r="H34" s="156"/>
      <c r="I34" s="156"/>
      <c r="J34" s="156"/>
      <c r="K34" s="156"/>
      <c r="L34" s="156"/>
      <c r="M34" s="156"/>
      <c r="N34" s="156"/>
      <c r="O34" s="156"/>
      <c r="P34" s="156"/>
    </row>
    <row r="35" spans="1:16" x14ac:dyDescent="0.2">
      <c r="A35" s="20"/>
      <c r="B35" s="20"/>
      <c r="C35" s="20"/>
      <c r="D35" s="20"/>
      <c r="E35" s="20"/>
      <c r="F35" s="20"/>
    </row>
    <row r="36" spans="1:16" s="90" customFormat="1" ht="24.75" customHeight="1" x14ac:dyDescent="0.2">
      <c r="A36" s="129">
        <v>5.2</v>
      </c>
      <c r="B36" s="119" t="s">
        <v>120</v>
      </c>
      <c r="C36" s="119"/>
      <c r="D36" s="149" t="s">
        <v>189</v>
      </c>
      <c r="E36" s="149" t="s">
        <v>87</v>
      </c>
      <c r="F36" s="270" t="s">
        <v>85</v>
      </c>
      <c r="G36" s="379"/>
      <c r="H36" s="379"/>
      <c r="I36" s="379"/>
      <c r="J36" s="379"/>
      <c r="K36" s="379"/>
      <c r="L36" s="379"/>
      <c r="M36" s="379"/>
      <c r="N36" s="379"/>
      <c r="O36" s="379"/>
      <c r="P36" s="379"/>
    </row>
    <row r="37" spans="1:16" s="7" customFormat="1" x14ac:dyDescent="0.2">
      <c r="A37" s="57"/>
      <c r="B37" s="57"/>
      <c r="C37" s="57"/>
      <c r="D37" s="57">
        <v>1</v>
      </c>
      <c r="E37" s="57">
        <f>E38</f>
        <v>0</v>
      </c>
      <c r="F37" s="284"/>
      <c r="G37" s="380"/>
      <c r="H37" s="380"/>
      <c r="I37" s="380"/>
      <c r="J37" s="380"/>
      <c r="K37" s="380"/>
      <c r="L37" s="380"/>
      <c r="M37" s="380"/>
      <c r="N37" s="380"/>
      <c r="O37" s="380"/>
      <c r="P37" s="380"/>
    </row>
    <row r="38" spans="1:16" s="148" customFormat="1" ht="40.5" customHeight="1" x14ac:dyDescent="0.2">
      <c r="A38" s="147"/>
      <c r="B38" s="152" t="s">
        <v>182</v>
      </c>
      <c r="C38" s="153" t="s">
        <v>183</v>
      </c>
      <c r="D38" s="147">
        <v>1</v>
      </c>
      <c r="E38" s="340">
        <f>IF(C38="Name of  cert",0,1)</f>
        <v>0</v>
      </c>
      <c r="F38" s="286"/>
      <c r="G38" s="156"/>
      <c r="H38" s="156"/>
      <c r="I38" s="156"/>
      <c r="J38" s="156"/>
      <c r="K38" s="156"/>
      <c r="L38" s="156"/>
      <c r="M38" s="156"/>
      <c r="N38" s="156"/>
      <c r="O38" s="156"/>
      <c r="P38" s="156"/>
    </row>
    <row r="39" spans="1:16" x14ac:dyDescent="0.2">
      <c r="A39" s="20"/>
      <c r="B39" s="20"/>
      <c r="C39" s="20"/>
      <c r="D39" s="20"/>
      <c r="E39" s="20"/>
      <c r="F39" s="20"/>
    </row>
    <row r="40" spans="1:16" s="90" customFormat="1" ht="24" customHeight="1" x14ac:dyDescent="0.2">
      <c r="A40" s="129">
        <v>5.3</v>
      </c>
      <c r="B40" s="149" t="s">
        <v>316</v>
      </c>
      <c r="C40" s="149"/>
      <c r="D40" s="149" t="s">
        <v>189</v>
      </c>
      <c r="E40" s="149" t="s">
        <v>87</v>
      </c>
      <c r="F40" s="270" t="s">
        <v>85</v>
      </c>
      <c r="G40" s="379"/>
      <c r="H40" s="379"/>
      <c r="I40" s="379"/>
      <c r="J40" s="379"/>
      <c r="K40" s="379"/>
      <c r="L40" s="379"/>
      <c r="M40" s="379"/>
      <c r="N40" s="379"/>
      <c r="O40" s="379"/>
      <c r="P40" s="379"/>
    </row>
    <row r="41" spans="1:16" s="7" customFormat="1" x14ac:dyDescent="0.2">
      <c r="A41" s="57"/>
      <c r="B41" s="57"/>
      <c r="C41" s="57"/>
      <c r="D41" s="57">
        <v>2</v>
      </c>
      <c r="E41" s="57">
        <f>MIN(2,E42+E43)</f>
        <v>0</v>
      </c>
      <c r="F41" s="284"/>
      <c r="G41" s="380"/>
      <c r="H41" s="380"/>
      <c r="I41" s="380"/>
      <c r="J41" s="380"/>
      <c r="K41" s="380"/>
      <c r="L41" s="380"/>
      <c r="M41" s="380"/>
      <c r="N41" s="380"/>
      <c r="O41" s="380"/>
      <c r="P41" s="380"/>
    </row>
    <row r="42" spans="1:16" s="148" customFormat="1" ht="15" customHeight="1" x14ac:dyDescent="0.2">
      <c r="A42" s="147"/>
      <c r="B42" s="147" t="s">
        <v>118</v>
      </c>
      <c r="C42" s="155"/>
      <c r="D42" s="147">
        <v>1</v>
      </c>
      <c r="E42" s="147">
        <f>IF(G42,1,0)</f>
        <v>0</v>
      </c>
      <c r="F42" s="286"/>
      <c r="G42" s="156" t="b">
        <v>0</v>
      </c>
      <c r="H42" s="156"/>
      <c r="I42" s="156"/>
      <c r="J42" s="156"/>
      <c r="K42" s="156"/>
      <c r="L42" s="156"/>
      <c r="M42" s="156"/>
      <c r="N42" s="156"/>
      <c r="O42" s="156"/>
      <c r="P42" s="156"/>
    </row>
    <row r="43" spans="1:16" s="148" customFormat="1" ht="15" customHeight="1" x14ac:dyDescent="0.2">
      <c r="A43" s="147"/>
      <c r="B43" s="150" t="s">
        <v>119</v>
      </c>
      <c r="C43" s="158"/>
      <c r="D43" s="150">
        <v>2</v>
      </c>
      <c r="E43" s="150">
        <f>IF(G43,2,0)</f>
        <v>0</v>
      </c>
      <c r="F43" s="287"/>
      <c r="G43" s="156" t="b">
        <v>0</v>
      </c>
      <c r="H43" s="156"/>
      <c r="I43" s="156"/>
      <c r="J43" s="156"/>
      <c r="K43" s="156"/>
      <c r="L43" s="156"/>
      <c r="M43" s="156"/>
      <c r="N43" s="156"/>
      <c r="O43" s="156"/>
      <c r="P43" s="156"/>
    </row>
    <row r="44" spans="1:16" x14ac:dyDescent="0.2">
      <c r="A44" s="20"/>
      <c r="B44" s="20"/>
      <c r="C44" s="20"/>
      <c r="D44" s="20"/>
      <c r="E44" s="20"/>
      <c r="F44" s="20"/>
    </row>
    <row r="45" spans="1:16" s="90" customFormat="1" ht="25.5" customHeight="1" x14ac:dyDescent="0.2">
      <c r="A45" s="129">
        <v>5.4</v>
      </c>
      <c r="B45" s="149" t="s">
        <v>121</v>
      </c>
      <c r="C45" s="149"/>
      <c r="D45" s="149" t="s">
        <v>189</v>
      </c>
      <c r="E45" s="149" t="s">
        <v>87</v>
      </c>
      <c r="F45" s="270" t="s">
        <v>85</v>
      </c>
      <c r="G45" s="379"/>
      <c r="H45" s="379"/>
      <c r="I45" s="379"/>
      <c r="J45" s="379"/>
      <c r="K45" s="379"/>
      <c r="L45" s="379"/>
      <c r="M45" s="379"/>
      <c r="N45" s="379"/>
      <c r="O45" s="379"/>
      <c r="P45" s="379"/>
    </row>
    <row r="46" spans="1:16" s="7" customFormat="1" x14ac:dyDescent="0.2">
      <c r="A46" s="57"/>
      <c r="B46" s="57"/>
      <c r="C46" s="57"/>
      <c r="D46" s="57">
        <v>2</v>
      </c>
      <c r="E46" s="57">
        <f>E47</f>
        <v>0</v>
      </c>
      <c r="F46" s="284"/>
      <c r="G46" s="380"/>
      <c r="H46" s="380"/>
      <c r="I46" s="380"/>
      <c r="J46" s="380"/>
      <c r="K46" s="380"/>
      <c r="L46" s="380"/>
      <c r="M46" s="380"/>
      <c r="N46" s="380"/>
      <c r="O46" s="380"/>
      <c r="P46" s="380"/>
    </row>
    <row r="47" spans="1:16" s="148" customFormat="1" ht="55.5" customHeight="1" x14ac:dyDescent="0.2">
      <c r="A47" s="147"/>
      <c r="B47" s="147"/>
      <c r="C47" s="154" t="s">
        <v>184</v>
      </c>
      <c r="D47" s="577">
        <v>2</v>
      </c>
      <c r="E47" s="580">
        <f>IF(C47="Exemplify how the project  demonstrated social benefits.",0,0.5)+IF(C48="Exemplify how the project  demonstrated social benefits.",0,0.5)+IF(C49="Exemplify how the project  demonstrated social benefits.",0,0.5)+IF(C50="Exemplify how the project  demonstrated social benefits.",0,0.5)</f>
        <v>0</v>
      </c>
      <c r="F47" s="583"/>
      <c r="G47" s="156"/>
      <c r="H47" s="156"/>
      <c r="I47" s="156"/>
      <c r="J47" s="156"/>
      <c r="K47" s="156"/>
      <c r="L47" s="156"/>
      <c r="M47" s="156"/>
      <c r="N47" s="156"/>
      <c r="O47" s="156"/>
      <c r="P47" s="156"/>
    </row>
    <row r="48" spans="1:16" s="148" customFormat="1" ht="55.5" customHeight="1" x14ac:dyDescent="0.2">
      <c r="A48" s="147"/>
      <c r="B48" s="147"/>
      <c r="C48" s="154" t="s">
        <v>184</v>
      </c>
      <c r="D48" s="578"/>
      <c r="E48" s="581"/>
      <c r="F48" s="584"/>
      <c r="G48" s="156"/>
      <c r="H48" s="156"/>
      <c r="I48" s="156"/>
      <c r="J48" s="156"/>
      <c r="K48" s="156"/>
      <c r="L48" s="156"/>
      <c r="M48" s="156"/>
      <c r="N48" s="156"/>
      <c r="O48" s="156"/>
      <c r="P48" s="156"/>
    </row>
    <row r="49" spans="1:16" s="148" customFormat="1" ht="55.5" customHeight="1" x14ac:dyDescent="0.2">
      <c r="A49" s="147"/>
      <c r="B49" s="147"/>
      <c r="C49" s="154" t="s">
        <v>184</v>
      </c>
      <c r="D49" s="578"/>
      <c r="E49" s="581"/>
      <c r="F49" s="584"/>
      <c r="G49" s="156"/>
      <c r="H49" s="156"/>
      <c r="I49" s="156"/>
      <c r="J49" s="156"/>
      <c r="K49" s="156"/>
      <c r="L49" s="156"/>
      <c r="M49" s="156"/>
      <c r="N49" s="156"/>
      <c r="O49" s="156"/>
      <c r="P49" s="156"/>
    </row>
    <row r="50" spans="1:16" s="148" customFormat="1" ht="55.5" customHeight="1" x14ac:dyDescent="0.2">
      <c r="A50" s="147"/>
      <c r="B50" s="147"/>
      <c r="C50" s="154" t="s">
        <v>184</v>
      </c>
      <c r="D50" s="579"/>
      <c r="E50" s="582"/>
      <c r="F50" s="585"/>
      <c r="G50" s="156"/>
      <c r="H50" s="156"/>
      <c r="I50" s="156"/>
      <c r="J50" s="156"/>
      <c r="K50" s="156"/>
      <c r="L50" s="156"/>
      <c r="M50" s="156"/>
      <c r="N50" s="156"/>
      <c r="O50" s="156"/>
      <c r="P50" s="156"/>
    </row>
    <row r="51" spans="1:16" x14ac:dyDescent="0.2">
      <c r="A51" s="20"/>
      <c r="B51" s="20"/>
      <c r="C51" s="20"/>
      <c r="D51" s="20"/>
      <c r="E51" s="20"/>
      <c r="F51" s="20"/>
    </row>
    <row r="52" spans="1:16" x14ac:dyDescent="0.2">
      <c r="A52" s="22" t="s">
        <v>122</v>
      </c>
      <c r="B52" s="23"/>
      <c r="C52" s="23"/>
      <c r="D52" s="23"/>
      <c r="E52" s="353">
        <f>SUM(E4,E37,E41,E46)</f>
        <v>0</v>
      </c>
      <c r="F52" s="23"/>
    </row>
    <row r="53" spans="1:16" x14ac:dyDescent="0.2">
      <c r="A53" s="20"/>
      <c r="B53" s="20"/>
      <c r="C53" s="20"/>
      <c r="D53" s="20"/>
      <c r="E53" s="20"/>
      <c r="F53" s="20"/>
    </row>
    <row r="54" spans="1:16" ht="12.95" customHeight="1" x14ac:dyDescent="0.2">
      <c r="A54" s="429" t="s">
        <v>93</v>
      </c>
      <c r="B54" s="429"/>
      <c r="C54" s="128"/>
      <c r="D54" s="20"/>
      <c r="E54" s="20"/>
      <c r="F54" s="20"/>
    </row>
    <row r="55" spans="1:16" x14ac:dyDescent="0.2">
      <c r="A55" s="576"/>
      <c r="B55" s="576"/>
      <c r="C55" s="576"/>
      <c r="D55" s="576"/>
      <c r="E55" s="576"/>
      <c r="F55" s="576"/>
    </row>
    <row r="56" spans="1:16" x14ac:dyDescent="0.2">
      <c r="A56" s="576"/>
      <c r="B56" s="576"/>
      <c r="C56" s="576"/>
      <c r="D56" s="576"/>
      <c r="E56" s="576"/>
      <c r="F56" s="576"/>
    </row>
    <row r="57" spans="1:16" x14ac:dyDescent="0.2">
      <c r="A57" s="576"/>
      <c r="B57" s="576"/>
      <c r="C57" s="576"/>
      <c r="D57" s="576"/>
      <c r="E57" s="576"/>
      <c r="F57" s="576"/>
    </row>
    <row r="58" spans="1:16" x14ac:dyDescent="0.2">
      <c r="A58" s="576"/>
      <c r="B58" s="576"/>
      <c r="C58" s="576"/>
      <c r="D58" s="576"/>
      <c r="E58" s="576"/>
      <c r="F58" s="576"/>
    </row>
  </sheetData>
  <sheetProtection algorithmName="SHA-512" hashValue="4WuueusEBtm0FId4jDDLzHCP2Zz8/DGC+rbDX+SUrpewGAhXm/i/ziwJbJymrE+D9lBbgkBaL3C4YSqC+irazw==" saltValue="TjJKicYWp4MiYMS7Ddhkmw==" spinCount="100000" sheet="1" objects="1" scenarios="1"/>
  <mergeCells count="5">
    <mergeCell ref="A55:F58"/>
    <mergeCell ref="A54:B54"/>
    <mergeCell ref="D47:D50"/>
    <mergeCell ref="E47:E50"/>
    <mergeCell ref="F47:F50"/>
  </mergeCells>
  <pageMargins left="0.39370078740157483" right="0.39370078740157483" top="0.31496062992125984" bottom="0.31496062992125984" header="0.31496062992125984" footer="0.23622047244094491"/>
  <pageSetup paperSize="9" scale="108" firstPageNumber="14" pageOrder="overThenDown" orientation="portrait" useFirstPageNumber="1" r:id="rId1"/>
  <headerFooter>
    <oddFooter>&amp;RPage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locked="0" defaultSize="0" autoFill="0" autoLine="0" autoPict="0">
                <anchor moveWithCells="1">
                  <from>
                    <xdr:col>2</xdr:col>
                    <xdr:colOff>133350</xdr:colOff>
                    <xdr:row>40</xdr:row>
                    <xdr:rowOff>142875</xdr:rowOff>
                  </from>
                  <to>
                    <xdr:col>2</xdr:col>
                    <xdr:colOff>438150</xdr:colOff>
                    <xdr:row>42</xdr:row>
                    <xdr:rowOff>19050</xdr:rowOff>
                  </to>
                </anchor>
              </controlPr>
            </control>
          </mc:Choice>
        </mc:AlternateContent>
        <mc:AlternateContent xmlns:mc="http://schemas.openxmlformats.org/markup-compatibility/2006">
          <mc:Choice Requires="x14">
            <control shapeId="10244" r:id="rId5" name="Check Box 4">
              <controlPr locked="0" defaultSize="0" autoFill="0" autoLine="0" autoPict="0">
                <anchor moveWithCells="1">
                  <from>
                    <xdr:col>2</xdr:col>
                    <xdr:colOff>133350</xdr:colOff>
                    <xdr:row>41</xdr:row>
                    <xdr:rowOff>161925</xdr:rowOff>
                  </from>
                  <to>
                    <xdr:col>2</xdr:col>
                    <xdr:colOff>438150</xdr:colOff>
                    <xdr:row>43</xdr:row>
                    <xdr:rowOff>9525</xdr:rowOff>
                  </to>
                </anchor>
              </controlPr>
            </control>
          </mc:Choice>
        </mc:AlternateContent>
        <mc:AlternateContent xmlns:mc="http://schemas.openxmlformats.org/markup-compatibility/2006">
          <mc:Choice Requires="x14">
            <control shapeId="10245" r:id="rId6" name="Check Box 5">
              <controlPr locked="0" defaultSize="0" autoFill="0" autoLine="0" autoPict="0">
                <anchor moveWithCells="1">
                  <from>
                    <xdr:col>2</xdr:col>
                    <xdr:colOff>133350</xdr:colOff>
                    <xdr:row>10</xdr:row>
                    <xdr:rowOff>133350</xdr:rowOff>
                  </from>
                  <to>
                    <xdr:col>2</xdr:col>
                    <xdr:colOff>438150</xdr:colOff>
                    <xdr:row>12</xdr:row>
                    <xdr:rowOff>38100</xdr:rowOff>
                  </to>
                </anchor>
              </controlPr>
            </control>
          </mc:Choice>
        </mc:AlternateContent>
        <mc:AlternateContent xmlns:mc="http://schemas.openxmlformats.org/markup-compatibility/2006">
          <mc:Choice Requires="x14">
            <control shapeId="10246" r:id="rId7" name="Check Box 6">
              <controlPr locked="0" defaultSize="0" autoFill="0" autoLine="0" autoPict="0">
                <anchor moveWithCells="1">
                  <from>
                    <xdr:col>2</xdr:col>
                    <xdr:colOff>133350</xdr:colOff>
                    <xdr:row>17</xdr:row>
                    <xdr:rowOff>114300</xdr:rowOff>
                  </from>
                  <to>
                    <xdr:col>2</xdr:col>
                    <xdr:colOff>438150</xdr:colOff>
                    <xdr:row>19</xdr:row>
                    <xdr:rowOff>19050</xdr:rowOff>
                  </to>
                </anchor>
              </controlPr>
            </control>
          </mc:Choice>
        </mc:AlternateContent>
        <mc:AlternateContent xmlns:mc="http://schemas.openxmlformats.org/markup-compatibility/2006">
          <mc:Choice Requires="x14">
            <control shapeId="10247" r:id="rId8" name="Check Box 7">
              <controlPr locked="0" defaultSize="0" autoFill="0" autoLine="0" autoPict="0">
                <anchor moveWithCells="1">
                  <from>
                    <xdr:col>2</xdr:col>
                    <xdr:colOff>133350</xdr:colOff>
                    <xdr:row>19</xdr:row>
                    <xdr:rowOff>152400</xdr:rowOff>
                  </from>
                  <to>
                    <xdr:col>2</xdr:col>
                    <xdr:colOff>438150</xdr:colOff>
                    <xdr:row>19</xdr:row>
                    <xdr:rowOff>381000</xdr:rowOff>
                  </to>
                </anchor>
              </controlPr>
            </control>
          </mc:Choice>
        </mc:AlternateContent>
        <mc:AlternateContent xmlns:mc="http://schemas.openxmlformats.org/markup-compatibility/2006">
          <mc:Choice Requires="x14">
            <control shapeId="10248" r:id="rId9" name="Check Box 8">
              <controlPr locked="0" defaultSize="0" autoFill="0" autoLine="0" autoPict="0">
                <anchor moveWithCells="1">
                  <from>
                    <xdr:col>2</xdr:col>
                    <xdr:colOff>133350</xdr:colOff>
                    <xdr:row>19</xdr:row>
                    <xdr:rowOff>581025</xdr:rowOff>
                  </from>
                  <to>
                    <xdr:col>2</xdr:col>
                    <xdr:colOff>438150</xdr:colOff>
                    <xdr:row>21</xdr:row>
                    <xdr:rowOff>38100</xdr:rowOff>
                  </to>
                </anchor>
              </controlPr>
            </control>
          </mc:Choice>
        </mc:AlternateContent>
        <mc:AlternateContent xmlns:mc="http://schemas.openxmlformats.org/markup-compatibility/2006">
          <mc:Choice Requires="x14">
            <control shapeId="10249" r:id="rId10" name="Check Box 9">
              <controlPr locked="0" defaultSize="0" autoFill="0" autoLine="0" autoPict="0">
                <anchor moveWithCells="1">
                  <from>
                    <xdr:col>2</xdr:col>
                    <xdr:colOff>133350</xdr:colOff>
                    <xdr:row>20</xdr:row>
                    <xdr:rowOff>133350</xdr:rowOff>
                  </from>
                  <to>
                    <xdr:col>2</xdr:col>
                    <xdr:colOff>438150</xdr:colOff>
                    <xdr:row>22</xdr:row>
                    <xdr:rowOff>38100</xdr:rowOff>
                  </to>
                </anchor>
              </controlPr>
            </control>
          </mc:Choice>
        </mc:AlternateContent>
        <mc:AlternateContent xmlns:mc="http://schemas.openxmlformats.org/markup-compatibility/2006">
          <mc:Choice Requires="x14">
            <control shapeId="10250" r:id="rId11" name="Check Box 10">
              <controlPr locked="0" defaultSize="0" autoFill="0" autoLine="0" autoPict="0">
                <anchor moveWithCells="1">
                  <from>
                    <xdr:col>2</xdr:col>
                    <xdr:colOff>133350</xdr:colOff>
                    <xdr:row>27</xdr:row>
                    <xdr:rowOff>133350</xdr:rowOff>
                  </from>
                  <to>
                    <xdr:col>2</xdr:col>
                    <xdr:colOff>438150</xdr:colOff>
                    <xdr:row>29</xdr:row>
                    <xdr:rowOff>38100</xdr:rowOff>
                  </to>
                </anchor>
              </controlPr>
            </control>
          </mc:Choice>
        </mc:AlternateContent>
        <mc:AlternateContent xmlns:mc="http://schemas.openxmlformats.org/markup-compatibility/2006">
          <mc:Choice Requires="x14">
            <control shapeId="10251" r:id="rId12" name="Check Box 11">
              <controlPr locked="0" defaultSize="0" autoFill="0" autoLine="0" autoPict="0">
                <anchor moveWithCells="1">
                  <from>
                    <xdr:col>2</xdr:col>
                    <xdr:colOff>133350</xdr:colOff>
                    <xdr:row>29</xdr:row>
                    <xdr:rowOff>28575</xdr:rowOff>
                  </from>
                  <to>
                    <xdr:col>2</xdr:col>
                    <xdr:colOff>438150</xdr:colOff>
                    <xdr:row>29</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6"/>
  <sheetViews>
    <sheetView view="pageBreakPreview" zoomScaleNormal="100" zoomScaleSheetLayoutView="100" workbookViewId="0">
      <selection activeCell="Q13" sqref="Q13"/>
    </sheetView>
  </sheetViews>
  <sheetFormatPr defaultColWidth="9.140625" defaultRowHeight="12.75" x14ac:dyDescent="0.2"/>
  <cols>
    <col min="1" max="1" width="6" style="3" customWidth="1"/>
    <col min="2" max="2" width="45.7109375" style="3" customWidth="1"/>
    <col min="3" max="3" width="7.5703125" style="3" customWidth="1"/>
    <col min="4" max="4" width="9.5703125" style="3" customWidth="1"/>
    <col min="5" max="5" width="7" style="3" customWidth="1"/>
    <col min="6" max="6" width="12.7109375" style="3" customWidth="1"/>
    <col min="7" max="7" width="11.7109375" style="135" hidden="1" customWidth="1"/>
    <col min="8" max="16" width="9.140625" style="135" hidden="1" customWidth="1"/>
    <col min="17" max="16384" width="9.140625" style="3"/>
  </cols>
  <sheetData>
    <row r="1" spans="1:6" x14ac:dyDescent="0.2">
      <c r="A1" s="343" t="s">
        <v>111</v>
      </c>
      <c r="B1" s="344"/>
      <c r="C1" s="344"/>
      <c r="D1" s="344"/>
      <c r="E1" s="344"/>
      <c r="F1" s="344"/>
    </row>
    <row r="2" spans="1:6" ht="36" x14ac:dyDescent="0.2">
      <c r="A2" s="347" t="s">
        <v>405</v>
      </c>
      <c r="B2" s="346" t="s">
        <v>401</v>
      </c>
      <c r="C2" s="346" t="s">
        <v>407</v>
      </c>
      <c r="D2" s="346" t="s">
        <v>189</v>
      </c>
      <c r="E2" s="346" t="s">
        <v>87</v>
      </c>
      <c r="F2" s="346" t="s">
        <v>85</v>
      </c>
    </row>
    <row r="3" spans="1:6" x14ac:dyDescent="0.2">
      <c r="A3" s="157">
        <v>0</v>
      </c>
      <c r="B3" s="18" t="s">
        <v>400</v>
      </c>
      <c r="C3" s="157">
        <v>0</v>
      </c>
      <c r="D3" s="345">
        <v>15</v>
      </c>
      <c r="E3" s="351">
        <f>A3*MIN(C3,D3)/100</f>
        <v>0</v>
      </c>
      <c r="F3" s="18"/>
    </row>
    <row r="4" spans="1:6" x14ac:dyDescent="0.2">
      <c r="A4" s="157">
        <v>0</v>
      </c>
      <c r="B4" s="18" t="s">
        <v>402</v>
      </c>
      <c r="C4" s="157">
        <v>0</v>
      </c>
      <c r="D4" s="345">
        <v>10</v>
      </c>
      <c r="E4" s="351">
        <f t="shared" ref="E4:E6" si="0">A4*MIN(C4,D4)/100</f>
        <v>0</v>
      </c>
      <c r="F4" s="18"/>
    </row>
    <row r="5" spans="1:6" x14ac:dyDescent="0.2">
      <c r="A5" s="157">
        <v>0</v>
      </c>
      <c r="B5" s="18" t="s">
        <v>403</v>
      </c>
      <c r="C5" s="157">
        <v>0</v>
      </c>
      <c r="D5" s="345">
        <v>10</v>
      </c>
      <c r="E5" s="351">
        <f t="shared" si="0"/>
        <v>0</v>
      </c>
      <c r="F5" s="18"/>
    </row>
    <row r="6" spans="1:6" x14ac:dyDescent="0.2">
      <c r="A6" s="157">
        <v>0</v>
      </c>
      <c r="B6" s="18" t="s">
        <v>404</v>
      </c>
      <c r="C6" s="157">
        <v>0</v>
      </c>
      <c r="D6" s="345">
        <v>10</v>
      </c>
      <c r="E6" s="351">
        <f t="shared" si="0"/>
        <v>0</v>
      </c>
      <c r="F6" s="18"/>
    </row>
    <row r="7" spans="1:6" x14ac:dyDescent="0.2">
      <c r="A7" s="345">
        <f>100-SUM(A3:A6)</f>
        <v>100</v>
      </c>
      <c r="B7" s="18" t="s">
        <v>406</v>
      </c>
      <c r="C7" s="351">
        <f>'Score Summary'!I37-Annexes!E3</f>
        <v>0</v>
      </c>
      <c r="D7" s="345">
        <v>140</v>
      </c>
      <c r="E7" s="351">
        <f>C7</f>
        <v>0</v>
      </c>
      <c r="F7" s="18"/>
    </row>
    <row r="8" spans="1:6" x14ac:dyDescent="0.2">
      <c r="A8" s="18"/>
      <c r="B8" s="350" t="str">
        <f>IF(A7&lt;0,"Pls enter realistic number","")</f>
        <v/>
      </c>
      <c r="C8" s="18"/>
      <c r="D8" s="18"/>
      <c r="E8" s="18"/>
      <c r="F8" s="18"/>
    </row>
    <row r="9" spans="1:6" x14ac:dyDescent="0.2">
      <c r="A9" s="20"/>
      <c r="B9" s="20"/>
      <c r="C9" s="20"/>
      <c r="D9" s="20"/>
      <c r="E9" s="20"/>
      <c r="F9" s="20"/>
    </row>
    <row r="10" spans="1:6" x14ac:dyDescent="0.2">
      <c r="A10" s="348" t="s">
        <v>122</v>
      </c>
      <c r="B10" s="349"/>
      <c r="C10" s="349"/>
      <c r="D10" s="349"/>
      <c r="E10" s="352">
        <f>SUM(E3:E6)</f>
        <v>0</v>
      </c>
      <c r="F10" s="349"/>
    </row>
    <row r="11" spans="1:6" x14ac:dyDescent="0.2">
      <c r="A11" s="20"/>
      <c r="B11" s="20"/>
      <c r="C11" s="20"/>
      <c r="D11" s="20"/>
      <c r="E11" s="20"/>
      <c r="F11" s="20"/>
    </row>
    <row r="12" spans="1:6" ht="12.95" customHeight="1" x14ac:dyDescent="0.2">
      <c r="A12" s="429" t="s">
        <v>93</v>
      </c>
      <c r="B12" s="429"/>
      <c r="C12" s="326"/>
      <c r="D12" s="20"/>
      <c r="E12" s="20"/>
      <c r="F12" s="20"/>
    </row>
    <row r="13" spans="1:6" x14ac:dyDescent="0.2">
      <c r="A13" s="576"/>
      <c r="B13" s="576"/>
      <c r="C13" s="576"/>
      <c r="D13" s="576"/>
      <c r="E13" s="576"/>
      <c r="F13" s="576"/>
    </row>
    <row r="14" spans="1:6" x14ac:dyDescent="0.2">
      <c r="A14" s="576"/>
      <c r="B14" s="576"/>
      <c r="C14" s="576"/>
      <c r="D14" s="576"/>
      <c r="E14" s="576"/>
      <c r="F14" s="576"/>
    </row>
    <row r="15" spans="1:6" x14ac:dyDescent="0.2">
      <c r="A15" s="576"/>
      <c r="B15" s="576"/>
      <c r="C15" s="576"/>
      <c r="D15" s="576"/>
      <c r="E15" s="576"/>
      <c r="F15" s="576"/>
    </row>
    <row r="16" spans="1:6" x14ac:dyDescent="0.2">
      <c r="A16" s="576"/>
      <c r="B16" s="576"/>
      <c r="C16" s="576"/>
      <c r="D16" s="576"/>
      <c r="E16" s="576"/>
      <c r="F16" s="576"/>
    </row>
  </sheetData>
  <sheetProtection algorithmName="SHA-512" hashValue="jkaBiq0dRGlnAMDMl5wqUoP8RgMxmQmwESz2223CixYc336BJ9FeZkJIvGgdlq86W6jd8S1GU83nh8tf3B/i7w==" saltValue="TZ5fufkH1YfsrFS3UK/I+A==" spinCount="100000" sheet="1" objects="1" scenarios="1"/>
  <mergeCells count="2">
    <mergeCell ref="A12:B12"/>
    <mergeCell ref="A13:F16"/>
  </mergeCells>
  <pageMargins left="0.39370078740157483" right="0.39370078740157483" top="0.31496062992125984" bottom="0.31496062992125984" header="0.31496062992125984" footer="0.23622047244094491"/>
  <pageSetup paperSize="9" scale="108" firstPageNumber="15" pageOrder="overThenDown" orientation="portrait" useFirstPageNumber="1" r:id="rId1"/>
  <headerFoot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4"/>
  <sheetViews>
    <sheetView topLeftCell="A43" workbookViewId="0">
      <selection activeCell="D59" sqref="D59"/>
    </sheetView>
  </sheetViews>
  <sheetFormatPr defaultRowHeight="12.75" x14ac:dyDescent="0.2"/>
  <cols>
    <col min="3" max="3" width="7.5703125" customWidth="1"/>
    <col min="4" max="4" width="61" customWidth="1"/>
  </cols>
  <sheetData>
    <row r="1" spans="1:5" x14ac:dyDescent="0.2">
      <c r="B1" t="s">
        <v>431</v>
      </c>
    </row>
    <row r="2" spans="1:5" x14ac:dyDescent="0.2">
      <c r="A2" s="405">
        <v>1</v>
      </c>
      <c r="C2" s="1" t="s">
        <v>445</v>
      </c>
      <c r="D2" s="399" t="s">
        <v>446</v>
      </c>
      <c r="E2" s="400" t="s">
        <v>447</v>
      </c>
    </row>
    <row r="3" spans="1:5" x14ac:dyDescent="0.2">
      <c r="A3" s="405">
        <v>2</v>
      </c>
      <c r="C3" t="s">
        <v>204</v>
      </c>
      <c r="D3" t="s">
        <v>8</v>
      </c>
      <c r="E3" t="str">
        <f>IF('Part 1 - CRD'!G3,"Complied","")</f>
        <v/>
      </c>
    </row>
    <row r="4" spans="1:5" x14ac:dyDescent="0.2">
      <c r="A4" s="405">
        <v>3</v>
      </c>
      <c r="C4" t="s">
        <v>205</v>
      </c>
      <c r="D4" t="s">
        <v>10</v>
      </c>
      <c r="E4" t="str">
        <f>IF('Part 1 - CRD'!G4,"Complied","")</f>
        <v/>
      </c>
    </row>
    <row r="5" spans="1:5" x14ac:dyDescent="0.2">
      <c r="A5" s="405">
        <v>4</v>
      </c>
      <c r="C5" t="s">
        <v>206</v>
      </c>
      <c r="D5" t="s">
        <v>12</v>
      </c>
      <c r="E5" t="str">
        <f>IF('Part 1 - CRD'!G5,"Complied","")</f>
        <v/>
      </c>
    </row>
    <row r="6" spans="1:5" x14ac:dyDescent="0.2">
      <c r="C6" s="92">
        <v>1.1000000000000001</v>
      </c>
      <c r="D6" s="586" t="s">
        <v>15</v>
      </c>
      <c r="E6" s="587"/>
    </row>
    <row r="7" spans="1:5" x14ac:dyDescent="0.2">
      <c r="A7" t="str">
        <f>IF(E7&gt;0,MAX($A$3:A6)+1,"")</f>
        <v/>
      </c>
      <c r="C7" t="s">
        <v>207</v>
      </c>
      <c r="D7" t="s">
        <v>18</v>
      </c>
      <c r="E7">
        <f>'Part 1 - CRD'!E10</f>
        <v>0</v>
      </c>
    </row>
    <row r="8" spans="1:5" x14ac:dyDescent="0.2">
      <c r="A8" t="str">
        <f>IF(E8&gt;0,MAX($A$3:A7)+1,"")</f>
        <v/>
      </c>
      <c r="C8" t="s">
        <v>426</v>
      </c>
      <c r="D8" t="s">
        <v>427</v>
      </c>
      <c r="E8">
        <f>'Part 1 - CRD'!E15</f>
        <v>0</v>
      </c>
    </row>
    <row r="9" spans="1:5" x14ac:dyDescent="0.2">
      <c r="A9" t="str">
        <f>IF(E9&gt;0,MAX($A$3:A8)+1,"")</f>
        <v/>
      </c>
      <c r="C9" t="s">
        <v>428</v>
      </c>
      <c r="D9" t="s">
        <v>429</v>
      </c>
      <c r="E9">
        <f>'Part 1 - CRD'!E17</f>
        <v>0</v>
      </c>
    </row>
    <row r="10" spans="1:5" x14ac:dyDescent="0.2">
      <c r="A10" t="str">
        <f>IF(E10&gt;0,MAX($A$3:A9)+1,"")</f>
        <v/>
      </c>
      <c r="B10" t="s">
        <v>441</v>
      </c>
      <c r="C10" t="s">
        <v>430</v>
      </c>
      <c r="D10" t="str">
        <f>CONCATENATE("Use of ",IF('Part 1 - CRD'!G20,"Collaborative BIM",""),IF('Part 1 - CRD'!H20,IF('Part 1 - CRD'!G20," and Green BIM","Green BIM"),""))</f>
        <v xml:space="preserve">Use of </v>
      </c>
      <c r="E10">
        <f>'Part 1 - CRD'!E19</f>
        <v>0</v>
      </c>
    </row>
    <row r="11" spans="1:5" x14ac:dyDescent="0.2">
      <c r="A11" t="str">
        <f>IF(E11&gt;0,MAX($A$3:A10)+1,"")</f>
        <v/>
      </c>
      <c r="B11" t="s">
        <v>432</v>
      </c>
      <c r="C11" t="s">
        <v>209</v>
      </c>
      <c r="D11" t="str">
        <f>CONCATENATE("Provision of ",IF('Part 1 - CRD'!C24&gt;0,"GMAP/GMAP(FM)",""),IF('Part 1 - CRD'!C25&gt;0,"GMAAP/GMAAP(FM)",""))</f>
        <v xml:space="preserve">Provision of </v>
      </c>
      <c r="E11">
        <f>'Part 1 - CRD'!G23</f>
        <v>0</v>
      </c>
    </row>
    <row r="12" spans="1:5" x14ac:dyDescent="0.2">
      <c r="A12" t="str">
        <f>IF(E12&gt;0,MAX($A$3:A11)+1,"")</f>
        <v/>
      </c>
      <c r="B12" t="s">
        <v>433</v>
      </c>
      <c r="C12" t="str">
        <f>IF(SUM($E$11:E11)=0,$C$11,"")</f>
        <v>1.1c</v>
      </c>
      <c r="D12" t="str">
        <f>IF('Part 1 - CRD'!G27,"Excellent/Star GGBA",IF('Part 1 - CRD'!G26,"Certified/Merit GGBA",""))</f>
        <v/>
      </c>
      <c r="E12">
        <f>'Part 1 - CRD'!H23</f>
        <v>0</v>
      </c>
    </row>
    <row r="13" spans="1:5" x14ac:dyDescent="0.2">
      <c r="A13" t="str">
        <f>IF(E13&gt;0,MAX($A$3:A12)+1,"")</f>
        <v/>
      </c>
      <c r="B13" t="s">
        <v>434</v>
      </c>
      <c r="C13" t="str">
        <f>IF(SUM($E$11:E12)=0,$C$11,"")</f>
        <v>1.1c</v>
      </c>
      <c r="D13" t="str">
        <f>CONCATENATE(IF('Part 1 - CRD'!C28&gt;0,CONCATENATE('Part 1 - CRD'!C28," ISO 14001 certified consultant"),""),IF('Part 1 - CRD'!C29&gt;0,CONCATENATE(IF('Part 1 - CRD'!C28&gt;0,", ",""),'Part 1 - CRD'!C29," SGBC Green Services Certified Firm"),""))</f>
        <v/>
      </c>
      <c r="E13">
        <f>'Part 1 - CRD'!I23+'Part 1 - CRD'!J23</f>
        <v>0</v>
      </c>
    </row>
    <row r="14" spans="1:5" x14ac:dyDescent="0.2">
      <c r="A14" t="str">
        <f>IF(E14&gt;0,MAX($A$3:A13)+1,"")</f>
        <v/>
      </c>
      <c r="C14" t="s">
        <v>210</v>
      </c>
      <c r="D14" t="s">
        <v>436</v>
      </c>
      <c r="E14">
        <f>'Part 1 - CRD'!G33</f>
        <v>0</v>
      </c>
    </row>
    <row r="15" spans="1:5" x14ac:dyDescent="0.2">
      <c r="A15" t="str">
        <f>IF(E15&gt;0,MAX($A$3:A14)+1,"")</f>
        <v/>
      </c>
      <c r="C15" t="str">
        <f>IF(SUM($E$14:E14)=0,$C$14,"")</f>
        <v>1.1d</v>
      </c>
      <c r="D15" t="s">
        <v>437</v>
      </c>
      <c r="E15">
        <f>'Part 1 - CRD'!H33</f>
        <v>0</v>
      </c>
    </row>
    <row r="16" spans="1:5" x14ac:dyDescent="0.2">
      <c r="A16" t="str">
        <f>IF(E16&gt;0,MAX($A$3:A15)+1,"")</f>
        <v/>
      </c>
      <c r="C16" t="str">
        <f>IF(SUM($E$14:E15)=0,$C$14,"")</f>
        <v>1.1d</v>
      </c>
      <c r="D16" t="s">
        <v>438</v>
      </c>
      <c r="E16">
        <f>'Part 1 - CRD'!I33</f>
        <v>0</v>
      </c>
    </row>
    <row r="17" spans="1:5" x14ac:dyDescent="0.2">
      <c r="A17" t="str">
        <f>IF(E17&gt;0,MAX($A$3:A16)+1,"")</f>
        <v/>
      </c>
      <c r="C17" t="str">
        <f>IF(SUM($E$14:E16)=0,$C$14,"")</f>
        <v>1.1d</v>
      </c>
      <c r="D17" t="s">
        <v>439</v>
      </c>
      <c r="E17">
        <f>'Part 1 - CRD'!J33</f>
        <v>0</v>
      </c>
    </row>
    <row r="18" spans="1:5" x14ac:dyDescent="0.2">
      <c r="A18" t="str">
        <f>IF(E18&gt;0,MAX($A$3:A17)+1,"")</f>
        <v/>
      </c>
      <c r="C18" t="str">
        <f>IF(SUM($E$14:E17)=0,$C$14,"")</f>
        <v>1.1d</v>
      </c>
      <c r="D18" t="s">
        <v>440</v>
      </c>
      <c r="E18">
        <f>'Part 1 - CRD'!K33</f>
        <v>0</v>
      </c>
    </row>
    <row r="19" spans="1:5" x14ac:dyDescent="0.2">
      <c r="A19" t="str">
        <f>IF(E19&gt;0,MAX($A$3:A18)+1,"")</f>
        <v/>
      </c>
      <c r="C19" t="str">
        <f>IF(SUM($E$14:E18)=0,$C$14,"")</f>
        <v>1.1d</v>
      </c>
      <c r="D19" t="str">
        <f>CONCATENATE("Green Lease for ",'Part 1 - CRD'!C33,"% of net lettable area")</f>
        <v>Green Lease for 0% of net lettable area</v>
      </c>
      <c r="E19">
        <f>'Part 1 - CRD'!L33</f>
        <v>0</v>
      </c>
    </row>
    <row r="20" spans="1:5" x14ac:dyDescent="0.2">
      <c r="A20" t="str">
        <f>IF(E20&gt;0,MAX($A$3:A19)+1,"")</f>
        <v/>
      </c>
      <c r="B20" t="s">
        <v>443</v>
      </c>
      <c r="C20" t="s">
        <v>442</v>
      </c>
      <c r="D20" t="str">
        <f>IF('Part 1 - CRD'!H39,"Conduct an Environmental Impact Assessment by 3rd Party (EIA)",IF('Part 1 - CRD'!G39,"Environmental Study",""))</f>
        <v/>
      </c>
      <c r="E20">
        <f>'Part 1 - CRD'!E38</f>
        <v>0</v>
      </c>
    </row>
    <row r="21" spans="1:5" x14ac:dyDescent="0.2">
      <c r="A21" t="str">
        <f>IF(E21&gt;0,MAX($A$3:A20)+1,"")</f>
        <v/>
      </c>
      <c r="C21" t="s">
        <v>444</v>
      </c>
      <c r="D21" t="str">
        <f>IF('Part 1 - CRD'!H43,"Level 2 Site Analysis",IF('Part 1 - CRD'!G43,"Level 1 Site Analysis",""))</f>
        <v/>
      </c>
      <c r="E21">
        <f>'Part 1 - CRD'!E42</f>
        <v>0</v>
      </c>
    </row>
    <row r="22" spans="1:5" x14ac:dyDescent="0.2">
      <c r="A22" t="str">
        <f>IF(E22&gt;0,MAX($A$3:A21)+1,"")</f>
        <v/>
      </c>
      <c r="C22" t="s">
        <v>448</v>
      </c>
      <c r="D22" t="str">
        <f>CONCATENATE('Part 1 - CRD'!C45,"% of the site coverage with Urban Heat Island migitation")</f>
        <v>0% of the site coverage with Urban Heat Island migitation</v>
      </c>
      <c r="E22">
        <f>'Part 1 - CRD'!E44</f>
        <v>0</v>
      </c>
    </row>
    <row r="23" spans="1:5" x14ac:dyDescent="0.2">
      <c r="A23" t="str">
        <f>IF(E23&gt;0,MAX($A$3:A22)+1,"")</f>
        <v/>
      </c>
      <c r="C23" t="s">
        <v>451</v>
      </c>
      <c r="D23" t="s">
        <v>449</v>
      </c>
      <c r="E23">
        <f>IF('Part 1 - CRD'!G47,0.5,0)</f>
        <v>0</v>
      </c>
    </row>
    <row r="24" spans="1:5" x14ac:dyDescent="0.2">
      <c r="A24" t="str">
        <f>IF(E24&gt;0,MAX($A$3:A23)+1,"")</f>
        <v/>
      </c>
      <c r="C24" t="str">
        <f>IF(SUM($E$23:E23)=0,$C$23,"")</f>
        <v>1.2a(iv)</v>
      </c>
      <c r="D24" t="s">
        <v>469</v>
      </c>
      <c r="E24">
        <f>IF('Part 1 - CRD'!H47,0.5,0)</f>
        <v>0</v>
      </c>
    </row>
    <row r="25" spans="1:5" x14ac:dyDescent="0.2">
      <c r="A25" t="str">
        <f>IF(E25&gt;0,MAX($A$3:A24)+1,"")</f>
        <v/>
      </c>
      <c r="C25" t="str">
        <f>IF(SUM($E$23:E24)=0,$C$23,"")</f>
        <v>1.2a(iv)</v>
      </c>
      <c r="D25" t="s">
        <v>470</v>
      </c>
      <c r="E25">
        <f>IF('Part 1 - CRD'!I47,0.5,0)</f>
        <v>0</v>
      </c>
    </row>
    <row r="26" spans="1:5" x14ac:dyDescent="0.2">
      <c r="A26" t="str">
        <f>IF(E26&gt;0,MAX($A$3:A25)+1,"")</f>
        <v/>
      </c>
      <c r="C26" t="str">
        <f>IF(SUM($E$23:E25)=0,$C$23,"")</f>
        <v>1.2a(iv)</v>
      </c>
      <c r="D26" t="s">
        <v>450</v>
      </c>
      <c r="E26">
        <f>IF('Part 1 - CRD'!J47,0.5,0)</f>
        <v>0</v>
      </c>
    </row>
    <row r="27" spans="1:5" x14ac:dyDescent="0.2">
      <c r="A27" t="str">
        <f>IF(E27&gt;0,MAX($A$3:A26)+1,"")</f>
        <v/>
      </c>
      <c r="C27" t="s">
        <v>452</v>
      </c>
      <c r="D27" t="str">
        <f>CONCATENATE("GnPR = ",'Part 1 - CRD'!C51)</f>
        <v>GnPR = 0</v>
      </c>
      <c r="E27">
        <f>'Part 1 - CRD'!E50</f>
        <v>0</v>
      </c>
    </row>
    <row r="28" spans="1:5" x14ac:dyDescent="0.2">
      <c r="A28" t="str">
        <f>IF(E28&gt;0,MAX($A$3:A27)+1,"")</f>
        <v/>
      </c>
      <c r="C28" t="s">
        <v>455</v>
      </c>
      <c r="D28" t="s">
        <v>454</v>
      </c>
      <c r="E28">
        <f>IF('Part 1 - CRD'!G55,0.5,0)</f>
        <v>0</v>
      </c>
    </row>
    <row r="29" spans="1:5" x14ac:dyDescent="0.2">
      <c r="A29" t="str">
        <f>IF(E29&gt;0,MAX($A$3:A28)+1,"")</f>
        <v/>
      </c>
      <c r="C29" t="str">
        <f>IF(SUM($E$28:E28)=0,$C$28,"")</f>
        <v>1.2b(ii)</v>
      </c>
      <c r="D29" t="s">
        <v>453</v>
      </c>
      <c r="E29">
        <f>IF('Part 1 - CRD'!H55,0.5,0)</f>
        <v>0</v>
      </c>
    </row>
    <row r="30" spans="1:5" x14ac:dyDescent="0.2">
      <c r="A30" t="str">
        <f>IF(E30&gt;0,MAX($A$3:A29)+1,"")</f>
        <v/>
      </c>
      <c r="C30" t="s">
        <v>460</v>
      </c>
      <c r="D30" t="s">
        <v>456</v>
      </c>
      <c r="E30">
        <f>IF('Part 1 - CRD'!G57,1.5,0)</f>
        <v>0</v>
      </c>
    </row>
    <row r="31" spans="1:5" x14ac:dyDescent="0.2">
      <c r="A31" t="str">
        <f>IF(E31&gt;0,MAX($A$3:A30)+1,"")</f>
        <v/>
      </c>
      <c r="C31" t="str">
        <f>IF(SUM($E$30:E30)=0,$C$30,"")</f>
        <v>1.2b(iii)</v>
      </c>
      <c r="D31" t="s">
        <v>457</v>
      </c>
      <c r="E31">
        <f>IF(E30=0,IF('Part 1 - CRD'!H57,0.5,0),0)</f>
        <v>0</v>
      </c>
    </row>
    <row r="32" spans="1:5" x14ac:dyDescent="0.2">
      <c r="A32" t="str">
        <f>IF(E32&gt;0,MAX($A$3:A31)+1,"")</f>
        <v/>
      </c>
      <c r="C32" t="str">
        <f>IF(SUM($E$30:E31)=0,$C$30,"")</f>
        <v>1.2b(iii)</v>
      </c>
      <c r="D32" t="s">
        <v>458</v>
      </c>
      <c r="E32">
        <f>IF(E30=0,IF('Part 1 - CRD'!I57,0.5,0),0)</f>
        <v>0</v>
      </c>
    </row>
    <row r="33" spans="1:5" x14ac:dyDescent="0.2">
      <c r="A33" t="str">
        <f>IF(E33&gt;0,MAX($A$3:A32)+1,"")</f>
        <v/>
      </c>
      <c r="C33" t="str">
        <f>IF(SUM($E$30:E32)=0,$C$30,"")</f>
        <v>1.2b(iii)</v>
      </c>
      <c r="D33" t="s">
        <v>459</v>
      </c>
      <c r="E33">
        <f>IF(E30=0,IF('Part 1 - CRD'!J57,0.5,0),0)</f>
        <v>0</v>
      </c>
    </row>
    <row r="34" spans="1:5" x14ac:dyDescent="0.2">
      <c r="A34" t="str">
        <f>IF(E34&gt;0,MAX($A$3:A33)+1,"")</f>
        <v/>
      </c>
      <c r="C34" t="s">
        <v>461</v>
      </c>
      <c r="D34" t="s">
        <v>462</v>
      </c>
      <c r="E34">
        <f>IF('Part 1 - CRD'!G59,1,0)</f>
        <v>0</v>
      </c>
    </row>
    <row r="35" spans="1:5" x14ac:dyDescent="0.2">
      <c r="A35" t="str">
        <f>IF(E35&gt;0,MAX($A$3:A34)+1,"")</f>
        <v/>
      </c>
      <c r="C35" t="s">
        <v>461</v>
      </c>
      <c r="D35" t="str">
        <f>CONCATENATE("Treatment of ",'Part 1 - CRD'!C59," % of total site area")</f>
        <v>Treatment of 0 % of total site area</v>
      </c>
      <c r="E35">
        <f>IF(E34=0,'Part 1 - CRD'!E58,0)</f>
        <v>0</v>
      </c>
    </row>
    <row r="36" spans="1:5" x14ac:dyDescent="0.2">
      <c r="A36" t="str">
        <f>IF(E36&gt;0,MAX($A$3:A35)+1,"")</f>
        <v/>
      </c>
      <c r="C36" t="s">
        <v>213</v>
      </c>
      <c r="D36" t="s">
        <v>38</v>
      </c>
      <c r="E36">
        <f>'Part 1 - CRD'!E63</f>
        <v>0</v>
      </c>
    </row>
    <row r="37" spans="1:5" x14ac:dyDescent="0.2">
      <c r="A37" t="str">
        <f>IF(E37&gt;0,MAX($A$3:A36)+1,"")</f>
        <v/>
      </c>
      <c r="C37" t="s">
        <v>214</v>
      </c>
      <c r="D37" t="str">
        <f>CONCATENATE("Non-A/C spaces covering ",IF('Part 1 - CRD'!G72,"2/3",IF('Part 1 - CRD'!G73,"1/3",0))," E/W facing walls")</f>
        <v>Non-A/C spaces covering 0 E/W facing walls</v>
      </c>
      <c r="E37">
        <f>'Part 1 - CRD'!G71</f>
        <v>0</v>
      </c>
    </row>
    <row r="38" spans="1:5" x14ac:dyDescent="0.2">
      <c r="A38" t="str">
        <f>IF(E38&gt;0,MAX($A$3:A37)+1,"")</f>
        <v/>
      </c>
      <c r="C38" t="str">
        <f>IF(SUM($E$37:E37)=0,$C$37,"")</f>
        <v>1.3b</v>
      </c>
      <c r="D38" t="str">
        <f>CONCATENATE('Part 1 - CRD'!C74," A/C spaces, ",'Part 1 - CRD'!C75," MV spaces, ",'Part 1 - CRD'!C76," NV spaces")</f>
        <v>0 A/C spaces, 0 MV spaces, 0 NV spaces</v>
      </c>
      <c r="E38">
        <f>'Part 1 - CRD'!H71</f>
        <v>0</v>
      </c>
    </row>
    <row r="39" spans="1:5" x14ac:dyDescent="0.2">
      <c r="A39" t="str">
        <f>IF(E39&gt;0,MAX($A$3:A38)+1,"")</f>
        <v/>
      </c>
      <c r="C39" t="s">
        <v>215</v>
      </c>
      <c r="D39" t="str">
        <f>CONCATENATE('Part 1 - CRD'!C78,"% of units/rooms with openings facing prevailing winds")</f>
        <v>0% of units/rooms with openings facing prevailing winds</v>
      </c>
      <c r="E39">
        <f>'Part 1 - CRD'!G78</f>
        <v>0</v>
      </c>
    </row>
    <row r="40" spans="1:5" x14ac:dyDescent="0.2">
      <c r="A40" t="str">
        <f>IF(E40&gt;0,MAX($A$3:A39)+1,"")</f>
        <v/>
      </c>
      <c r="C40" t="str">
        <f>IF(SUM($E$39:E39)=0,$C$39,"")</f>
        <v>1.3c</v>
      </c>
      <c r="D40" t="str">
        <f>CONCATENATE('Part 1 - CRD'!C80,"% of applicable spaces meeting depth requirement")</f>
        <v>0% of applicable spaces meeting depth requirement</v>
      </c>
      <c r="E40">
        <f>'Part 1 - CRD'!H78</f>
        <v>0</v>
      </c>
    </row>
    <row r="41" spans="1:5" x14ac:dyDescent="0.2">
      <c r="A41" t="str">
        <f>IF(E41&gt;0,MAX($A$3:A40)+1,"")</f>
        <v/>
      </c>
      <c r="C41" t="str">
        <f>IF(SUM($E$39:E40)=0,$C$39,"")</f>
        <v>1.3c</v>
      </c>
      <c r="D41" t="str">
        <f>CONCATENATE("Meet CFD requirement with average wind velocity = ",'Part 1 - CRD'!C81," m/s")</f>
        <v>Meet CFD requirement with average wind velocity = 0 m/s</v>
      </c>
      <c r="E41">
        <f>'Part 1 - CRD'!I78</f>
        <v>0</v>
      </c>
    </row>
    <row r="42" spans="1:5" x14ac:dyDescent="0.2">
      <c r="A42" t="str">
        <f>IF(E42&gt;0,MAX($A$3:A41)+1,"")</f>
        <v/>
      </c>
      <c r="C42" t="str">
        <f>IF(SUM($E$39:E41)=0,$C$39,"")</f>
        <v>1.3c</v>
      </c>
      <c r="D42" t="str">
        <f>CONCATENATE("PMV = ",'Part 1 - CRD'!C82)</f>
        <v>PMV = NA</v>
      </c>
      <c r="E42">
        <f>'Part 1 - CRD'!J78</f>
        <v>0</v>
      </c>
    </row>
    <row r="43" spans="1:5" x14ac:dyDescent="0.2">
      <c r="A43" t="str">
        <f>IF(E43&gt;0,MAX($A$3:A42)+1,"")</f>
        <v/>
      </c>
      <c r="C43" t="str">
        <f>IF(SUM($E$39:E42)=0,$C$39,"")</f>
        <v>1.3c</v>
      </c>
      <c r="D43" t="str">
        <f>CONCATENATE("Air Change Rate = ",'Part 1 - CRD'!C83,", Air Exchange Efficiency = ",'Part 1 - CRD'!C84)</f>
        <v>Air Change Rate = 0, Air Exchange Efficiency = 0</v>
      </c>
      <c r="E43">
        <f>'Part 1 - CRD'!K78</f>
        <v>0</v>
      </c>
    </row>
    <row r="44" spans="1:5" x14ac:dyDescent="0.2">
      <c r="A44">
        <f>MAX($A$2:A43)+1</f>
        <v>5</v>
      </c>
      <c r="C44" s="401" t="s">
        <v>447</v>
      </c>
      <c r="D44" t="s">
        <v>465</v>
      </c>
      <c r="E44">
        <f>SUM(E7:E43)</f>
        <v>0</v>
      </c>
    </row>
    <row r="45" spans="1:5" x14ac:dyDescent="0.2">
      <c r="A45" s="405">
        <f>MAX($A$2:A44)+1</f>
        <v>6</v>
      </c>
      <c r="C45" s="1" t="s">
        <v>466</v>
      </c>
      <c r="D45" s="399" t="s">
        <v>467</v>
      </c>
      <c r="E45" s="400" t="s">
        <v>447</v>
      </c>
    </row>
    <row r="46" spans="1:5" x14ac:dyDescent="0.2">
      <c r="A46" s="405">
        <f>MAX($A$2:A45)+1</f>
        <v>7</v>
      </c>
      <c r="C46" t="s">
        <v>216</v>
      </c>
      <c r="D46" t="s">
        <v>332</v>
      </c>
      <c r="E46" t="str">
        <f>IF('Part 2 - BEP'!G3,"Complied","")</f>
        <v/>
      </c>
    </row>
    <row r="47" spans="1:5" x14ac:dyDescent="0.2">
      <c r="A47" s="405">
        <f>MAX($A$2:A46)+1</f>
        <v>8</v>
      </c>
      <c r="C47" t="s">
        <v>217</v>
      </c>
      <c r="D47" t="s">
        <v>48</v>
      </c>
      <c r="E47" t="str">
        <f>IF('Part 2 - BEP'!G4,"Complied","")</f>
        <v/>
      </c>
    </row>
    <row r="48" spans="1:5" x14ac:dyDescent="0.2">
      <c r="A48" s="405">
        <f>MAX($A$2:A47)+1</f>
        <v>9</v>
      </c>
      <c r="C48" t="s">
        <v>218</v>
      </c>
      <c r="D48" t="s">
        <v>50</v>
      </c>
      <c r="E48" t="str">
        <f>IF('Part 2 - BEP'!G5,"Complied","")</f>
        <v/>
      </c>
    </row>
    <row r="49" spans="1:5" x14ac:dyDescent="0.2">
      <c r="A49" s="404" t="str">
        <f>IF('Part 2 - BEP'!G10,MAX($A$2:A48)+1,"")</f>
        <v/>
      </c>
      <c r="C49" t="s">
        <v>475</v>
      </c>
    </row>
    <row r="50" spans="1:5" x14ac:dyDescent="0.2">
      <c r="A50" t="str">
        <f>IF(E50&gt;0,MAX($A$3:A49)+1,"")</f>
        <v/>
      </c>
      <c r="C50" t="s">
        <v>219</v>
      </c>
      <c r="D50" t="str">
        <f>CONCATENATE("A/C total system efficiency is ",'Part 2 - BEP'!C12,"% improvement from baseline")</f>
        <v>A/C total system efficiency is 0% improvement from baseline</v>
      </c>
      <c r="E50">
        <f>'Part 2 - BEP'!E11</f>
        <v>0</v>
      </c>
    </row>
    <row r="51" spans="1:5" x14ac:dyDescent="0.2">
      <c r="A51" t="str">
        <f>IF(E51&gt;0,MAX($A$3:A50)+1,"")</f>
        <v/>
      </c>
      <c r="C51" t="s">
        <v>220</v>
      </c>
      <c r="D51" t="str">
        <f>CONCATENATE("Lighting System Efficiency is ",'Part 2 - BEP'!C14,"% improvement from baseline")</f>
        <v>Lighting System Efficiency is 0% improvement from baseline</v>
      </c>
      <c r="E51">
        <f>'Part 2 - BEP'!E13</f>
        <v>0</v>
      </c>
    </row>
    <row r="52" spans="1:5" x14ac:dyDescent="0.2">
      <c r="A52" t="str">
        <f>IF(E52&gt;0,MAX($A$3:A51)+1,"")</f>
        <v/>
      </c>
      <c r="C52" t="s">
        <v>221</v>
      </c>
      <c r="D52" t="str">
        <f>CONCATENATE("Carpark System Energy is ",'Part 2 - BEP'!C16,"% improvement from baseline")</f>
        <v>Carpark System Energy is 0% improvement from baseline</v>
      </c>
      <c r="E52">
        <f>'Part 2 - BEP'!E15</f>
        <v>0</v>
      </c>
    </row>
    <row r="53" spans="1:5" x14ac:dyDescent="0.2">
      <c r="A53" t="str">
        <f>IF(E53&gt;0,MAX($A$3:A52)+1,"")</f>
        <v/>
      </c>
      <c r="C53" t="s">
        <v>222</v>
      </c>
      <c r="D53" t="str">
        <f>CONCATENATE("Receptacle Energy is ",'Part 2 - BEP'!C18,"% improvement from baseline")</f>
        <v>Receptacle Energy is 0% improvement from baseline</v>
      </c>
      <c r="E53">
        <f>'Part 2 - BEP'!E17</f>
        <v>0</v>
      </c>
    </row>
    <row r="54" spans="1:5" x14ac:dyDescent="0.2">
      <c r="A54" t="str">
        <f>IF(E54&gt;0,MAX($A$3:A53)+1,"")</f>
        <v/>
      </c>
      <c r="C54" t="s">
        <v>243</v>
      </c>
      <c r="D54" t="str">
        <f>CONCATENATE("Building Energy is ",'Part 2 - BEP'!C22,"% improvement from baseline")</f>
        <v>Building Energy is 0% improvement from baseline</v>
      </c>
      <c r="E54">
        <f>'Part 2 - BEP'!E21</f>
        <v>0</v>
      </c>
    </row>
  </sheetData>
  <mergeCells count="1">
    <mergeCell ref="D6:E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emplate/>
  <TotalTime>214</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Revision Tracking</vt:lpstr>
      <vt:lpstr>Score Summary</vt:lpstr>
      <vt:lpstr>Part 1 - CRD</vt:lpstr>
      <vt:lpstr>Part 2 - BEP</vt:lpstr>
      <vt:lpstr>Part 3 - RS</vt:lpstr>
      <vt:lpstr>Part 4 - SHB</vt:lpstr>
      <vt:lpstr>Part 5 - AGE</vt:lpstr>
      <vt:lpstr>Annexes</vt:lpstr>
      <vt:lpstr>Tabulation</vt:lpstr>
      <vt:lpstr>Report</vt:lpstr>
      <vt:lpstr>Annexes!Print_Area</vt:lpstr>
      <vt:lpstr>'Part 1 - CRD'!Print_Area</vt:lpstr>
      <vt:lpstr>'Part 2 - BEP'!Print_Area</vt:lpstr>
      <vt:lpstr>'Part 3 - RS'!Print_Area</vt:lpstr>
      <vt:lpstr>'Part 4 - SHB'!Print_Area</vt:lpstr>
      <vt:lpstr>'Part 5 - AGE'!Print_Area</vt:lpstr>
      <vt:lpstr>Report!Print_Area</vt:lpstr>
      <vt:lpstr>'Score Summary'!Print_Area</vt:lpstr>
      <vt:lpstr>Annexes!Print_Titles</vt:lpstr>
      <vt:lpstr>'Part 1 - CRD'!Print_Titles</vt:lpstr>
      <vt:lpstr>'Part 2 - BEP'!Print_Titles</vt:lpstr>
      <vt:lpstr>'Part 3 - RS'!Print_Titles</vt:lpstr>
      <vt:lpstr>'Part 4 - SHB'!Print_Titles</vt:lpstr>
      <vt:lpstr>'Part 5 - 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Towell</dc:creator>
  <dc:description/>
  <cp:lastModifiedBy>Yock Keng LEOW (BCA)</cp:lastModifiedBy>
  <cp:revision>24</cp:revision>
  <cp:lastPrinted>2020-02-11T09:57:59Z</cp:lastPrinted>
  <dcterms:created xsi:type="dcterms:W3CDTF">2016-08-21T15:12:59Z</dcterms:created>
  <dcterms:modified xsi:type="dcterms:W3CDTF">2020-06-05T11:13:16Z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LEOW_Yock_Keng@bca.gov.sg</vt:lpwstr>
  </property>
  <property fmtid="{D5CDD505-2E9C-101B-9397-08002B2CF9AE}" pid="5" name="MSIP_Label_3f9331f7-95a2-472a-92bc-d73219eb516b_SetDate">
    <vt:lpwstr>2020-02-10T10:04:27.1625170Z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333a81d6-bc7c-46a1-bc2d-3020715b8f3c</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LEOW_Yock_Keng@bca.gov.sg</vt:lpwstr>
  </property>
  <property fmtid="{D5CDD505-2E9C-101B-9397-08002B2CF9AE}" pid="13" name="MSIP_Label_4f288355-fb4c-44cd-b9ca-40cfc2aee5f8_SetDate">
    <vt:lpwstr>2020-02-10T10:04:27.1625170Z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333a81d6-bc7c-46a1-bc2d-3020715b8f3c</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