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HCP_BACKUP\Yock Keng\Flash and Websites\Corporate Website\Edited\093 Edited on 22 Jan 2020\"/>
    </mc:Choice>
  </mc:AlternateContent>
  <bookViews>
    <workbookView xWindow="0" yWindow="0" windowWidth="28800" windowHeight="12300" tabRatio="905"/>
  </bookViews>
  <sheets>
    <sheet name="Revision Tracking" sheetId="17" r:id="rId1"/>
    <sheet name="Guidance Notes" sheetId="21" r:id="rId2"/>
    <sheet name="Notes for kWadj" sheetId="19" r:id="rId3"/>
    <sheet name="Building Data schedule" sheetId="1" r:id="rId4"/>
    <sheet name=" ACMV 2.1a" sheetId="6" r:id="rId5"/>
    <sheet name="Lighting Power Budget 2.1b" sheetId="4" r:id="rId6"/>
    <sheet name="Car Park 2.1c" sheetId="14" r:id="rId7"/>
    <sheet name="Receptacle Load 2.1d" sheetId="22" r:id="rId8"/>
    <sheet name="Building Energy 2.1e" sheetId="2" r:id="rId9"/>
    <sheet name="Renewable Energy 2.2c" sheetId="23" r:id="rId10"/>
    <sheet name="Mechanical Ventilation" sheetId="13" r:id="rId11"/>
    <sheet name="Vertical Transportation" sheetId="7" r:id="rId12"/>
    <sheet name="Hot Water" sheetId="8" r:id="rId13"/>
    <sheet name="Energy Efficient Features" sheetId="9" r:id="rId14"/>
    <sheet name="Service Equipment" sheetId="10" r:id="rId15"/>
    <sheet name="Heat Load calculation" sheetId="11" r:id="rId16"/>
    <sheet name="VRVVRFSplit System Tab" sheetId="15" r:id="rId17"/>
    <sheet name="AHU_FCU_PAU Working" sheetId="16" r:id="rId18"/>
    <sheet name="LOCKED SHEET" sheetId="12" state="hidden" r:id="rId19"/>
  </sheets>
  <externalReferences>
    <externalReference r:id="rId20"/>
  </externalReferences>
  <definedNames>
    <definedName name="Cooling">'LOCKED SHEET'!$H$23:$I$23</definedName>
    <definedName name="CoolingLoad">'Building Data schedule'!$G$36:$H$46</definedName>
    <definedName name="_xlnm.Print_Area" localSheetId="3">'Building Data schedule'!$A$1:$L$76</definedName>
    <definedName name="_xlnm.Print_Area" localSheetId="6">'Car Park 2.1c'!$A$1:$AA$118</definedName>
    <definedName name="_xlnm.Print_Area" localSheetId="10">'Mechanical Ventilation'!$A$1:$Z$216</definedName>
    <definedName name="_xlnm.Print_Area" localSheetId="9">'Renewable Energy 2.2c'!$A$1:$F$35</definedName>
    <definedName name="_xlnm.Print_Titles" localSheetId="6">'Car Park 2.1c'!$6:$6</definedName>
    <definedName name="_xlnm.Print_Titles" localSheetId="10">'Mechanical Ventilation'!$6:$6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1" i="6" l="1"/>
  <c r="D35" i="6" s="1"/>
  <c r="E156" i="6"/>
  <c r="H154" i="6"/>
  <c r="C167" i="6" s="1"/>
  <c r="D169" i="6" s="1"/>
  <c r="F154" i="6"/>
  <c r="C154" i="6"/>
  <c r="D170" i="6" s="1"/>
  <c r="E35" i="6" s="1"/>
  <c r="K153" i="6"/>
  <c r="I153" i="6"/>
  <c r="F153" i="6"/>
  <c r="L153" i="6" s="1"/>
  <c r="E153" i="6"/>
  <c r="L152" i="6"/>
  <c r="I152" i="6"/>
  <c r="F152" i="6"/>
  <c r="E152" i="6"/>
  <c r="K152" i="6" s="1"/>
  <c r="I151" i="6"/>
  <c r="F151" i="6"/>
  <c r="L151" i="6" s="1"/>
  <c r="E151" i="6"/>
  <c r="K151" i="6" s="1"/>
  <c r="I150" i="6"/>
  <c r="F150" i="6"/>
  <c r="L150" i="6" s="1"/>
  <c r="E150" i="6"/>
  <c r="K150" i="6" s="1"/>
  <c r="K149" i="6"/>
  <c r="I149" i="6"/>
  <c r="F149" i="6"/>
  <c r="L149" i="6" s="1"/>
  <c r="E149" i="6"/>
  <c r="L148" i="6"/>
  <c r="I148" i="6"/>
  <c r="F148" i="6"/>
  <c r="E148" i="6"/>
  <c r="K148" i="6" s="1"/>
  <c r="I147" i="6"/>
  <c r="F147" i="6"/>
  <c r="L147" i="6" s="1"/>
  <c r="E147" i="6"/>
  <c r="K147" i="6" s="1"/>
  <c r="I146" i="6"/>
  <c r="F146" i="6"/>
  <c r="L146" i="6" s="1"/>
  <c r="E146" i="6"/>
  <c r="K146" i="6" s="1"/>
  <c r="K145" i="6"/>
  <c r="I145" i="6"/>
  <c r="F145" i="6"/>
  <c r="L145" i="6" s="1"/>
  <c r="E145" i="6"/>
  <c r="L144" i="6"/>
  <c r="I144" i="6"/>
  <c r="F144" i="6"/>
  <c r="E144" i="6"/>
  <c r="K144" i="6" s="1"/>
  <c r="I143" i="6"/>
  <c r="F143" i="6"/>
  <c r="L143" i="6" s="1"/>
  <c r="E143" i="6"/>
  <c r="K143" i="6" s="1"/>
  <c r="I142" i="6"/>
  <c r="F142" i="6"/>
  <c r="L142" i="6" s="1"/>
  <c r="E142" i="6"/>
  <c r="K142" i="6" s="1"/>
  <c r="K141" i="6"/>
  <c r="I141" i="6"/>
  <c r="F141" i="6"/>
  <c r="L141" i="6" s="1"/>
  <c r="E141" i="6"/>
  <c r="L140" i="6"/>
  <c r="I140" i="6"/>
  <c r="F140" i="6"/>
  <c r="E140" i="6"/>
  <c r="K140" i="6" s="1"/>
  <c r="I139" i="6"/>
  <c r="F139" i="6"/>
  <c r="L139" i="6" s="1"/>
  <c r="E139" i="6"/>
  <c r="K139" i="6" s="1"/>
  <c r="K138" i="6"/>
  <c r="I138" i="6"/>
  <c r="F138" i="6"/>
  <c r="L138" i="6" s="1"/>
  <c r="E138" i="6"/>
  <c r="K137" i="6"/>
  <c r="I137" i="6"/>
  <c r="L137" i="6" s="1"/>
  <c r="F137" i="6"/>
  <c r="E137" i="6"/>
  <c r="L136" i="6"/>
  <c r="I136" i="6"/>
  <c r="F136" i="6"/>
  <c r="E136" i="6"/>
  <c r="K136" i="6" s="1"/>
  <c r="I135" i="6"/>
  <c r="F135" i="6"/>
  <c r="L135" i="6" s="1"/>
  <c r="E135" i="6"/>
  <c r="K135" i="6" s="1"/>
  <c r="K134" i="6"/>
  <c r="I134" i="6"/>
  <c r="F134" i="6"/>
  <c r="L134" i="6" s="1"/>
  <c r="E134" i="6"/>
  <c r="K133" i="6"/>
  <c r="I133" i="6"/>
  <c r="L133" i="6" s="1"/>
  <c r="F133" i="6"/>
  <c r="E133" i="6"/>
  <c r="L132" i="6"/>
  <c r="I132" i="6"/>
  <c r="F132" i="6"/>
  <c r="E132" i="6"/>
  <c r="K132" i="6" s="1"/>
  <c r="I131" i="6"/>
  <c r="F131" i="6"/>
  <c r="L131" i="6" s="1"/>
  <c r="E131" i="6"/>
  <c r="E154" i="6" s="1"/>
  <c r="K130" i="6"/>
  <c r="I130" i="6"/>
  <c r="F130" i="6"/>
  <c r="L130" i="6" s="1"/>
  <c r="E130" i="6"/>
  <c r="D129" i="6"/>
  <c r="D124" i="6"/>
  <c r="E112" i="6"/>
  <c r="J110" i="6"/>
  <c r="I110" i="6"/>
  <c r="E110" i="6"/>
  <c r="D110" i="6"/>
  <c r="C110" i="6"/>
  <c r="G110" i="6" s="1"/>
  <c r="L109" i="6"/>
  <c r="K109" i="6"/>
  <c r="G109" i="6"/>
  <c r="O109" i="6" s="1"/>
  <c r="F109" i="6"/>
  <c r="N109" i="6" s="1"/>
  <c r="L108" i="6"/>
  <c r="K108" i="6"/>
  <c r="G108" i="6"/>
  <c r="O108" i="6" s="1"/>
  <c r="F108" i="6"/>
  <c r="N108" i="6" s="1"/>
  <c r="L107" i="6"/>
  <c r="K107" i="6"/>
  <c r="G107" i="6"/>
  <c r="O107" i="6" s="1"/>
  <c r="F107" i="6"/>
  <c r="N107" i="6" s="1"/>
  <c r="L106" i="6"/>
  <c r="K106" i="6"/>
  <c r="G106" i="6"/>
  <c r="O106" i="6" s="1"/>
  <c r="F106" i="6"/>
  <c r="N106" i="6" s="1"/>
  <c r="L105" i="6"/>
  <c r="K105" i="6"/>
  <c r="G105" i="6"/>
  <c r="O105" i="6" s="1"/>
  <c r="F105" i="6"/>
  <c r="N105" i="6" s="1"/>
  <c r="L104" i="6"/>
  <c r="K104" i="6"/>
  <c r="G104" i="6"/>
  <c r="O104" i="6" s="1"/>
  <c r="F104" i="6"/>
  <c r="N104" i="6" s="1"/>
  <c r="L103" i="6"/>
  <c r="K103" i="6"/>
  <c r="G103" i="6"/>
  <c r="O103" i="6" s="1"/>
  <c r="F103" i="6"/>
  <c r="N103" i="6" s="1"/>
  <c r="L102" i="6"/>
  <c r="K102" i="6"/>
  <c r="G102" i="6"/>
  <c r="O102" i="6" s="1"/>
  <c r="F102" i="6"/>
  <c r="N102" i="6" s="1"/>
  <c r="L101" i="6"/>
  <c r="K101" i="6"/>
  <c r="G101" i="6"/>
  <c r="O101" i="6" s="1"/>
  <c r="F101" i="6"/>
  <c r="N101" i="6" s="1"/>
  <c r="L100" i="6"/>
  <c r="K100" i="6"/>
  <c r="G100" i="6"/>
  <c r="O100" i="6" s="1"/>
  <c r="F100" i="6"/>
  <c r="N100" i="6" s="1"/>
  <c r="L99" i="6"/>
  <c r="K99" i="6"/>
  <c r="G99" i="6"/>
  <c r="O99" i="6" s="1"/>
  <c r="F99" i="6"/>
  <c r="N99" i="6" s="1"/>
  <c r="L98" i="6"/>
  <c r="K98" i="6"/>
  <c r="G98" i="6"/>
  <c r="O98" i="6" s="1"/>
  <c r="F98" i="6"/>
  <c r="N98" i="6" s="1"/>
  <c r="L97" i="6"/>
  <c r="K97" i="6"/>
  <c r="G97" i="6"/>
  <c r="O97" i="6" s="1"/>
  <c r="F97" i="6"/>
  <c r="N97" i="6" s="1"/>
  <c r="L96" i="6"/>
  <c r="K96" i="6"/>
  <c r="G96" i="6"/>
  <c r="O96" i="6" s="1"/>
  <c r="F96" i="6"/>
  <c r="N96" i="6" s="1"/>
  <c r="L95" i="6"/>
  <c r="K95" i="6"/>
  <c r="G95" i="6"/>
  <c r="O95" i="6" s="1"/>
  <c r="F95" i="6"/>
  <c r="N95" i="6" s="1"/>
  <c r="L94" i="6"/>
  <c r="K94" i="6"/>
  <c r="G94" i="6"/>
  <c r="O94" i="6" s="1"/>
  <c r="F94" i="6"/>
  <c r="N94" i="6" s="1"/>
  <c r="L93" i="6"/>
  <c r="K93" i="6"/>
  <c r="G93" i="6"/>
  <c r="O93" i="6" s="1"/>
  <c r="F93" i="6"/>
  <c r="N93" i="6" s="1"/>
  <c r="L92" i="6"/>
  <c r="K92" i="6"/>
  <c r="G92" i="6"/>
  <c r="O92" i="6" s="1"/>
  <c r="F92" i="6"/>
  <c r="N92" i="6" s="1"/>
  <c r="L91" i="6"/>
  <c r="K91" i="6"/>
  <c r="G91" i="6"/>
  <c r="O91" i="6" s="1"/>
  <c r="F91" i="6"/>
  <c r="N91" i="6" s="1"/>
  <c r="L90" i="6"/>
  <c r="K90" i="6"/>
  <c r="G90" i="6"/>
  <c r="O90" i="6" s="1"/>
  <c r="F90" i="6"/>
  <c r="N90" i="6" s="1"/>
  <c r="L89" i="6"/>
  <c r="K89" i="6"/>
  <c r="G89" i="6"/>
  <c r="O89" i="6" s="1"/>
  <c r="F89" i="6"/>
  <c r="N89" i="6" s="1"/>
  <c r="L88" i="6"/>
  <c r="K88" i="6"/>
  <c r="G88" i="6"/>
  <c r="O88" i="6" s="1"/>
  <c r="F88" i="6"/>
  <c r="N88" i="6" s="1"/>
  <c r="L87" i="6"/>
  <c r="K87" i="6"/>
  <c r="G87" i="6"/>
  <c r="O87" i="6" s="1"/>
  <c r="F87" i="6"/>
  <c r="N87" i="6" s="1"/>
  <c r="L86" i="6"/>
  <c r="K86" i="6"/>
  <c r="K110" i="6" s="1"/>
  <c r="C121" i="6" s="1"/>
  <c r="D123" i="6" s="1"/>
  <c r="G86" i="6"/>
  <c r="O86" i="6" s="1"/>
  <c r="F86" i="6"/>
  <c r="N86" i="6" s="1"/>
  <c r="N110" i="6" s="1"/>
  <c r="E68" i="6"/>
  <c r="M66" i="6"/>
  <c r="C77" i="6" s="1"/>
  <c r="D79" i="6" s="1"/>
  <c r="L66" i="6"/>
  <c r="K66" i="6"/>
  <c r="H66" i="6"/>
  <c r="G66" i="6"/>
  <c r="F66" i="6"/>
  <c r="E66" i="6"/>
  <c r="D66" i="6"/>
  <c r="C66" i="6"/>
  <c r="D72" i="6" s="1"/>
  <c r="D33" i="6" s="1"/>
  <c r="N65" i="6"/>
  <c r="M65" i="6"/>
  <c r="I65" i="6"/>
  <c r="Q65" i="6" s="1"/>
  <c r="H65" i="6"/>
  <c r="P65" i="6" s="1"/>
  <c r="N64" i="6"/>
  <c r="M64" i="6"/>
  <c r="I64" i="6"/>
  <c r="Q64" i="6" s="1"/>
  <c r="H64" i="6"/>
  <c r="P64" i="6" s="1"/>
  <c r="N63" i="6"/>
  <c r="M63" i="6"/>
  <c r="I63" i="6"/>
  <c r="Q63" i="6" s="1"/>
  <c r="H63" i="6"/>
  <c r="P63" i="6" s="1"/>
  <c r="N62" i="6"/>
  <c r="M62" i="6"/>
  <c r="I62" i="6"/>
  <c r="Q62" i="6" s="1"/>
  <c r="H62" i="6"/>
  <c r="P62" i="6" s="1"/>
  <c r="N61" i="6"/>
  <c r="M61" i="6"/>
  <c r="I61" i="6"/>
  <c r="Q61" i="6" s="1"/>
  <c r="H61" i="6"/>
  <c r="P61" i="6" s="1"/>
  <c r="N60" i="6"/>
  <c r="M60" i="6"/>
  <c r="I60" i="6"/>
  <c r="Q60" i="6" s="1"/>
  <c r="H60" i="6"/>
  <c r="P60" i="6" s="1"/>
  <c r="N59" i="6"/>
  <c r="M59" i="6"/>
  <c r="I59" i="6"/>
  <c r="Q59" i="6" s="1"/>
  <c r="H59" i="6"/>
  <c r="P59" i="6" s="1"/>
  <c r="N58" i="6"/>
  <c r="M58" i="6"/>
  <c r="I58" i="6"/>
  <c r="Q58" i="6" s="1"/>
  <c r="H58" i="6"/>
  <c r="P58" i="6" s="1"/>
  <c r="N57" i="6"/>
  <c r="M57" i="6"/>
  <c r="I57" i="6"/>
  <c r="Q57" i="6" s="1"/>
  <c r="H57" i="6"/>
  <c r="P57" i="6" s="1"/>
  <c r="N56" i="6"/>
  <c r="M56" i="6"/>
  <c r="I56" i="6"/>
  <c r="Q56" i="6" s="1"/>
  <c r="H56" i="6"/>
  <c r="P56" i="6" s="1"/>
  <c r="N55" i="6"/>
  <c r="M55" i="6"/>
  <c r="I55" i="6"/>
  <c r="Q55" i="6" s="1"/>
  <c r="H55" i="6"/>
  <c r="P55" i="6" s="1"/>
  <c r="N54" i="6"/>
  <c r="M54" i="6"/>
  <c r="I54" i="6"/>
  <c r="Q54" i="6" s="1"/>
  <c r="H54" i="6"/>
  <c r="P54" i="6" s="1"/>
  <c r="N53" i="6"/>
  <c r="M53" i="6"/>
  <c r="I53" i="6"/>
  <c r="Q53" i="6" s="1"/>
  <c r="H53" i="6"/>
  <c r="P53" i="6" s="1"/>
  <c r="N52" i="6"/>
  <c r="M52" i="6"/>
  <c r="I52" i="6"/>
  <c r="Q52" i="6" s="1"/>
  <c r="H52" i="6"/>
  <c r="P52" i="6" s="1"/>
  <c r="N51" i="6"/>
  <c r="M51" i="6"/>
  <c r="I51" i="6"/>
  <c r="Q51" i="6" s="1"/>
  <c r="H51" i="6"/>
  <c r="P51" i="6" s="1"/>
  <c r="N50" i="6"/>
  <c r="M50" i="6"/>
  <c r="I50" i="6"/>
  <c r="Q50" i="6" s="1"/>
  <c r="H50" i="6"/>
  <c r="P50" i="6" s="1"/>
  <c r="N49" i="6"/>
  <c r="M49" i="6"/>
  <c r="I49" i="6"/>
  <c r="Q49" i="6" s="1"/>
  <c r="H49" i="6"/>
  <c r="P49" i="6" s="1"/>
  <c r="N48" i="6"/>
  <c r="M48" i="6"/>
  <c r="I48" i="6"/>
  <c r="Q48" i="6" s="1"/>
  <c r="H48" i="6"/>
  <c r="P48" i="6" s="1"/>
  <c r="N47" i="6"/>
  <c r="M47" i="6"/>
  <c r="I47" i="6"/>
  <c r="Q47" i="6" s="1"/>
  <c r="H47" i="6"/>
  <c r="P47" i="6" s="1"/>
  <c r="N46" i="6"/>
  <c r="M46" i="6"/>
  <c r="I46" i="6"/>
  <c r="Q46" i="6" s="1"/>
  <c r="H46" i="6"/>
  <c r="P46" i="6" s="1"/>
  <c r="N45" i="6"/>
  <c r="M45" i="6"/>
  <c r="I45" i="6"/>
  <c r="Q45" i="6" s="1"/>
  <c r="H45" i="6"/>
  <c r="P45" i="6" s="1"/>
  <c r="N44" i="6"/>
  <c r="M44" i="6"/>
  <c r="I44" i="6"/>
  <c r="Q44" i="6" s="1"/>
  <c r="H44" i="6"/>
  <c r="P44" i="6" s="1"/>
  <c r="N43" i="6"/>
  <c r="M43" i="6"/>
  <c r="I43" i="6"/>
  <c r="Q43" i="6" s="1"/>
  <c r="H43" i="6"/>
  <c r="P43" i="6" s="1"/>
  <c r="N42" i="6"/>
  <c r="M42" i="6"/>
  <c r="I42" i="6"/>
  <c r="Q42" i="6" s="1"/>
  <c r="H42" i="6"/>
  <c r="P42" i="6" s="1"/>
  <c r="P66" i="6" s="1"/>
  <c r="C35" i="6"/>
  <c r="E34" i="6"/>
  <c r="C34" i="6"/>
  <c r="C33" i="6"/>
  <c r="C36" i="6" s="1"/>
  <c r="B33" i="6"/>
  <c r="J17" i="6"/>
  <c r="G16" i="6"/>
  <c r="O15" i="6"/>
  <c r="M15" i="6"/>
  <c r="L15" i="6"/>
  <c r="G15" i="6"/>
  <c r="B15" i="6"/>
  <c r="I17" i="6" s="1"/>
  <c r="Q14" i="6"/>
  <c r="H10" i="6"/>
  <c r="B10" i="6"/>
  <c r="B9" i="6"/>
  <c r="J8" i="6"/>
  <c r="I8" i="6"/>
  <c r="H8" i="6"/>
  <c r="B8" i="6"/>
  <c r="I7" i="6"/>
  <c r="H7" i="6"/>
  <c r="B7" i="6"/>
  <c r="H6" i="6"/>
  <c r="G6" i="6"/>
  <c r="B6" i="6"/>
  <c r="B5" i="6"/>
  <c r="I3" i="6"/>
  <c r="F3" i="6"/>
  <c r="D36" i="6" l="1"/>
  <c r="F36" i="6"/>
  <c r="E36" i="6"/>
  <c r="E37" i="6" s="1"/>
  <c r="F33" i="6"/>
  <c r="F35" i="6"/>
  <c r="H15" i="6"/>
  <c r="H16" i="6"/>
  <c r="G17" i="6"/>
  <c r="I66" i="6"/>
  <c r="D116" i="6"/>
  <c r="D34" i="6" s="1"/>
  <c r="F34" i="6" s="1"/>
  <c r="I15" i="6"/>
  <c r="I16" i="6"/>
  <c r="H17" i="6"/>
  <c r="D80" i="6"/>
  <c r="E33" i="6" s="1"/>
  <c r="F110" i="6"/>
  <c r="K131" i="6"/>
  <c r="K154" i="6" s="1"/>
  <c r="D15" i="6"/>
  <c r="J15" i="6"/>
  <c r="D16" i="6"/>
  <c r="D17" i="6" s="1"/>
  <c r="J16" i="6"/>
  <c r="D7" i="23" l="1"/>
  <c r="E97" i="4"/>
  <c r="E208" i="13" l="1"/>
  <c r="B218" i="13" l="1"/>
  <c r="B217" i="13"/>
  <c r="O8" i="13"/>
  <c r="Q8" i="13" s="1"/>
  <c r="T8" i="13"/>
  <c r="V8" i="13" s="1"/>
  <c r="O9" i="13"/>
  <c r="Q9" i="13" s="1"/>
  <c r="T9" i="13"/>
  <c r="V9" i="13" s="1"/>
  <c r="O10" i="13"/>
  <c r="Q10" i="13" s="1"/>
  <c r="T10" i="13"/>
  <c r="V10" i="13" s="1"/>
  <c r="O11" i="13"/>
  <c r="Q11" i="13" s="1"/>
  <c r="T11" i="13"/>
  <c r="V11" i="13" s="1"/>
  <c r="O12" i="13"/>
  <c r="Q12" i="13" s="1"/>
  <c r="T12" i="13"/>
  <c r="V12" i="13" s="1"/>
  <c r="O13" i="13"/>
  <c r="Q13" i="13" s="1"/>
  <c r="T13" i="13"/>
  <c r="V13" i="13" s="1"/>
  <c r="O14" i="13"/>
  <c r="Q14" i="13" s="1"/>
  <c r="T14" i="13"/>
  <c r="V14" i="13" s="1"/>
  <c r="O15" i="13"/>
  <c r="Q15" i="13" s="1"/>
  <c r="T15" i="13"/>
  <c r="V15" i="13" s="1"/>
  <c r="O16" i="13"/>
  <c r="Q16" i="13" s="1"/>
  <c r="T16" i="13"/>
  <c r="V16" i="13" s="1"/>
  <c r="O17" i="13"/>
  <c r="Q17" i="13" s="1"/>
  <c r="T17" i="13"/>
  <c r="V17" i="13" s="1"/>
  <c r="O18" i="13"/>
  <c r="Q18" i="13" s="1"/>
  <c r="T18" i="13"/>
  <c r="V18" i="13" s="1"/>
  <c r="O19" i="13"/>
  <c r="Q19" i="13" s="1"/>
  <c r="T19" i="13"/>
  <c r="V19" i="13" s="1"/>
  <c r="O20" i="13"/>
  <c r="Q20" i="13" s="1"/>
  <c r="T20" i="13"/>
  <c r="V20" i="13" s="1"/>
  <c r="O21" i="13"/>
  <c r="Q21" i="13" s="1"/>
  <c r="T21" i="13"/>
  <c r="V21" i="13" s="1"/>
  <c r="O22" i="13"/>
  <c r="Q22" i="13" s="1"/>
  <c r="T22" i="13"/>
  <c r="V22" i="13" s="1"/>
  <c r="O23" i="13"/>
  <c r="Q23" i="13" s="1"/>
  <c r="T23" i="13"/>
  <c r="V23" i="13" s="1"/>
  <c r="O24" i="13"/>
  <c r="Q24" i="13" s="1"/>
  <c r="T24" i="13"/>
  <c r="V24" i="13" s="1"/>
  <c r="O25" i="13"/>
  <c r="Q25" i="13" s="1"/>
  <c r="T25" i="13"/>
  <c r="V25" i="13" s="1"/>
  <c r="O26" i="13"/>
  <c r="Q26" i="13" s="1"/>
  <c r="T26" i="13"/>
  <c r="V26" i="13" s="1"/>
  <c r="O27" i="13"/>
  <c r="Q27" i="13" s="1"/>
  <c r="T27" i="13"/>
  <c r="V27" i="13" s="1"/>
  <c r="O28" i="13"/>
  <c r="Q28" i="13" s="1"/>
  <c r="T28" i="13"/>
  <c r="V28" i="13" s="1"/>
  <c r="O29" i="13"/>
  <c r="Q29" i="13" s="1"/>
  <c r="T29" i="13"/>
  <c r="V29" i="13" s="1"/>
  <c r="O30" i="13"/>
  <c r="Q30" i="13" s="1"/>
  <c r="T30" i="13"/>
  <c r="V30" i="13" s="1"/>
  <c r="O31" i="13"/>
  <c r="Q31" i="13" s="1"/>
  <c r="T31" i="13"/>
  <c r="V31" i="13" s="1"/>
  <c r="O32" i="13"/>
  <c r="Q32" i="13" s="1"/>
  <c r="T32" i="13"/>
  <c r="V32" i="13" s="1"/>
  <c r="O33" i="13"/>
  <c r="Q33" i="13" s="1"/>
  <c r="T33" i="13"/>
  <c r="V33" i="13" s="1"/>
  <c r="O34" i="13"/>
  <c r="Q34" i="13" s="1"/>
  <c r="T34" i="13"/>
  <c r="V34" i="13" s="1"/>
  <c r="O35" i="13"/>
  <c r="Q35" i="13" s="1"/>
  <c r="T35" i="13"/>
  <c r="V35" i="13" s="1"/>
  <c r="O36" i="13"/>
  <c r="Q36" i="13" s="1"/>
  <c r="T36" i="13"/>
  <c r="V36" i="13" s="1"/>
  <c r="O37" i="13"/>
  <c r="Q37" i="13" s="1"/>
  <c r="T37" i="13"/>
  <c r="V37" i="13" s="1"/>
  <c r="O38" i="13"/>
  <c r="Q38" i="13" s="1"/>
  <c r="T38" i="13"/>
  <c r="V38" i="13" s="1"/>
  <c r="O39" i="13"/>
  <c r="Q39" i="13" s="1"/>
  <c r="T39" i="13"/>
  <c r="V39" i="13" s="1"/>
  <c r="O40" i="13"/>
  <c r="Q40" i="13" s="1"/>
  <c r="T40" i="13"/>
  <c r="V40" i="13" s="1"/>
  <c r="O41" i="13"/>
  <c r="Q41" i="13" s="1"/>
  <c r="T41" i="13"/>
  <c r="V41" i="13" s="1"/>
  <c r="O42" i="13"/>
  <c r="Q42" i="13" s="1"/>
  <c r="T42" i="13"/>
  <c r="V42" i="13" s="1"/>
  <c r="N43" i="13"/>
  <c r="U43" i="13" s="1"/>
  <c r="O43" i="13"/>
  <c r="Q43" i="13" s="1"/>
  <c r="T43" i="13"/>
  <c r="V43" i="13" s="1"/>
  <c r="N44" i="13"/>
  <c r="U44" i="13" s="1"/>
  <c r="O44" i="13"/>
  <c r="Q44" i="13" s="1"/>
  <c r="T44" i="13"/>
  <c r="V44" i="13" s="1"/>
  <c r="N45" i="13"/>
  <c r="P45" i="13" s="1"/>
  <c r="O45" i="13"/>
  <c r="Q45" i="13" s="1"/>
  <c r="T45" i="13"/>
  <c r="V45" i="13" s="1"/>
  <c r="N46" i="13"/>
  <c r="P46" i="13" s="1"/>
  <c r="O46" i="13"/>
  <c r="Q46" i="13" s="1"/>
  <c r="T46" i="13"/>
  <c r="V46" i="13" s="1"/>
  <c r="N47" i="13"/>
  <c r="O47" i="13"/>
  <c r="Q47" i="13" s="1"/>
  <c r="T47" i="13"/>
  <c r="V47" i="13" s="1"/>
  <c r="N48" i="13"/>
  <c r="O48" i="13"/>
  <c r="Q48" i="13" s="1"/>
  <c r="T48" i="13"/>
  <c r="V48" i="13" s="1"/>
  <c r="N49" i="13"/>
  <c r="O49" i="13"/>
  <c r="Q49" i="13" s="1"/>
  <c r="T49" i="13"/>
  <c r="V49" i="13" s="1"/>
  <c r="N50" i="13"/>
  <c r="U50" i="13" s="1"/>
  <c r="O50" i="13"/>
  <c r="Q50" i="13" s="1"/>
  <c r="T50" i="13"/>
  <c r="V50" i="13" s="1"/>
  <c r="N51" i="13"/>
  <c r="P51" i="13" s="1"/>
  <c r="O51" i="13"/>
  <c r="Q51" i="13" s="1"/>
  <c r="T51" i="13"/>
  <c r="V51" i="13" s="1"/>
  <c r="N52" i="13"/>
  <c r="O52" i="13"/>
  <c r="Q52" i="13" s="1"/>
  <c r="T52" i="13"/>
  <c r="V52" i="13" s="1"/>
  <c r="N53" i="13"/>
  <c r="O53" i="13"/>
  <c r="Q53" i="13" s="1"/>
  <c r="T53" i="13"/>
  <c r="V53" i="13" s="1"/>
  <c r="N54" i="13"/>
  <c r="O54" i="13"/>
  <c r="Q54" i="13" s="1"/>
  <c r="T54" i="13"/>
  <c r="V54" i="13" s="1"/>
  <c r="N55" i="13"/>
  <c r="P55" i="13" s="1"/>
  <c r="O55" i="13"/>
  <c r="Q55" i="13" s="1"/>
  <c r="T55" i="13"/>
  <c r="V55" i="13" s="1"/>
  <c r="N56" i="13"/>
  <c r="O56" i="13"/>
  <c r="Q56" i="13" s="1"/>
  <c r="T56" i="13"/>
  <c r="V56" i="13" s="1"/>
  <c r="N57" i="13"/>
  <c r="O57" i="13"/>
  <c r="Q57" i="13"/>
  <c r="T57" i="13"/>
  <c r="V57" i="13" s="1"/>
  <c r="N58" i="13"/>
  <c r="U58" i="13" s="1"/>
  <c r="O58" i="13"/>
  <c r="Q58" i="13" s="1"/>
  <c r="T58" i="13"/>
  <c r="V58" i="13" s="1"/>
  <c r="N59" i="13"/>
  <c r="U59" i="13" s="1"/>
  <c r="O59" i="13"/>
  <c r="Q59" i="13" s="1"/>
  <c r="T59" i="13"/>
  <c r="V59" i="13" s="1"/>
  <c r="N60" i="13"/>
  <c r="U60" i="13" s="1"/>
  <c r="O60" i="13"/>
  <c r="Q60" i="13" s="1"/>
  <c r="T60" i="13"/>
  <c r="V60" i="13" s="1"/>
  <c r="N61" i="13"/>
  <c r="P61" i="13" s="1"/>
  <c r="O61" i="13"/>
  <c r="Q61" i="13" s="1"/>
  <c r="T61" i="13"/>
  <c r="V61" i="13" s="1"/>
  <c r="N62" i="13"/>
  <c r="U62" i="13" s="1"/>
  <c r="O62" i="13"/>
  <c r="Q62" i="13" s="1"/>
  <c r="T62" i="13"/>
  <c r="V62" i="13" s="1"/>
  <c r="N63" i="13"/>
  <c r="U63" i="13" s="1"/>
  <c r="O63" i="13"/>
  <c r="Q63" i="13" s="1"/>
  <c r="T63" i="13"/>
  <c r="V63" i="13" s="1"/>
  <c r="N64" i="13"/>
  <c r="U64" i="13" s="1"/>
  <c r="O64" i="13"/>
  <c r="Q64" i="13" s="1"/>
  <c r="T64" i="13"/>
  <c r="V64" i="13" s="1"/>
  <c r="N65" i="13"/>
  <c r="O65" i="13"/>
  <c r="Q65" i="13" s="1"/>
  <c r="T65" i="13"/>
  <c r="V65" i="13" s="1"/>
  <c r="N66" i="13"/>
  <c r="U66" i="13" s="1"/>
  <c r="O66" i="13"/>
  <c r="Q66" i="13" s="1"/>
  <c r="T66" i="13"/>
  <c r="V66" i="13" s="1"/>
  <c r="N67" i="13"/>
  <c r="P67" i="13" s="1"/>
  <c r="O67" i="13"/>
  <c r="Q67" i="13" s="1"/>
  <c r="T67" i="13"/>
  <c r="V67" i="13" s="1"/>
  <c r="N68" i="13"/>
  <c r="U68" i="13" s="1"/>
  <c r="O68" i="13"/>
  <c r="Q68" i="13" s="1"/>
  <c r="T68" i="13"/>
  <c r="V68" i="13" s="1"/>
  <c r="N69" i="13"/>
  <c r="O69" i="13"/>
  <c r="Q69" i="13" s="1"/>
  <c r="T69" i="13"/>
  <c r="V69" i="13" s="1"/>
  <c r="N70" i="13"/>
  <c r="U70" i="13" s="1"/>
  <c r="O70" i="13"/>
  <c r="Q70" i="13" s="1"/>
  <c r="T70" i="13"/>
  <c r="V70" i="13" s="1"/>
  <c r="N71" i="13"/>
  <c r="U71" i="13" s="1"/>
  <c r="O71" i="13"/>
  <c r="Q71" i="13" s="1"/>
  <c r="T71" i="13"/>
  <c r="V71" i="13" s="1"/>
  <c r="N72" i="13"/>
  <c r="O72" i="13"/>
  <c r="Q72" i="13"/>
  <c r="T72" i="13"/>
  <c r="V72" i="13" s="1"/>
  <c r="N73" i="13"/>
  <c r="P73" i="13" s="1"/>
  <c r="O73" i="13"/>
  <c r="Q73" i="13"/>
  <c r="T73" i="13"/>
  <c r="V73" i="13" s="1"/>
  <c r="N74" i="13"/>
  <c r="U74" i="13" s="1"/>
  <c r="O74" i="13"/>
  <c r="Q74" i="13" s="1"/>
  <c r="T74" i="13"/>
  <c r="V74" i="13" s="1"/>
  <c r="N75" i="13"/>
  <c r="O75" i="13"/>
  <c r="Q75" i="13" s="1"/>
  <c r="T75" i="13"/>
  <c r="V75" i="13" s="1"/>
  <c r="N76" i="13"/>
  <c r="O76" i="13"/>
  <c r="Q76" i="13" s="1"/>
  <c r="T76" i="13"/>
  <c r="V76" i="13" s="1"/>
  <c r="N77" i="13"/>
  <c r="O77" i="13"/>
  <c r="Q77" i="13" s="1"/>
  <c r="T77" i="13"/>
  <c r="V77" i="13" s="1"/>
  <c r="N78" i="13"/>
  <c r="P78" i="13" s="1"/>
  <c r="O78" i="13"/>
  <c r="Q78" i="13" s="1"/>
  <c r="T78" i="13"/>
  <c r="V78" i="13" s="1"/>
  <c r="N79" i="13"/>
  <c r="U79" i="13" s="1"/>
  <c r="O79" i="13"/>
  <c r="Q79" i="13" s="1"/>
  <c r="T79" i="13"/>
  <c r="V79" i="13" s="1"/>
  <c r="N80" i="13"/>
  <c r="U80" i="13" s="1"/>
  <c r="O80" i="13"/>
  <c r="Q80" i="13" s="1"/>
  <c r="T80" i="13"/>
  <c r="V80" i="13" s="1"/>
  <c r="N81" i="13"/>
  <c r="O81" i="13"/>
  <c r="Q81" i="13" s="1"/>
  <c r="T81" i="13"/>
  <c r="V81" i="13" s="1"/>
  <c r="N82" i="13"/>
  <c r="O82" i="13"/>
  <c r="Q82" i="13" s="1"/>
  <c r="T82" i="13"/>
  <c r="V82" i="13" s="1"/>
  <c r="N83" i="13"/>
  <c r="O83" i="13"/>
  <c r="Q83" i="13" s="1"/>
  <c r="T83" i="13"/>
  <c r="V83" i="13" s="1"/>
  <c r="N84" i="13"/>
  <c r="O84" i="13"/>
  <c r="Q84" i="13" s="1"/>
  <c r="T84" i="13"/>
  <c r="V84" i="13" s="1"/>
  <c r="N85" i="13"/>
  <c r="O85" i="13"/>
  <c r="Q85" i="13" s="1"/>
  <c r="T85" i="13"/>
  <c r="V85" i="13" s="1"/>
  <c r="N86" i="13"/>
  <c r="U86" i="13" s="1"/>
  <c r="O86" i="13"/>
  <c r="Q86" i="13" s="1"/>
  <c r="T86" i="13"/>
  <c r="V86" i="13" s="1"/>
  <c r="N87" i="13"/>
  <c r="U87" i="13" s="1"/>
  <c r="O87" i="13"/>
  <c r="Q87" i="13" s="1"/>
  <c r="T87" i="13"/>
  <c r="V87" i="13" s="1"/>
  <c r="N88" i="13"/>
  <c r="O88" i="13"/>
  <c r="Q88" i="13" s="1"/>
  <c r="T88" i="13"/>
  <c r="V88" i="13" s="1"/>
  <c r="N89" i="13"/>
  <c r="O89" i="13"/>
  <c r="Q89" i="13" s="1"/>
  <c r="T89" i="13"/>
  <c r="V89" i="13" s="1"/>
  <c r="N90" i="13"/>
  <c r="O90" i="13"/>
  <c r="Q90" i="13" s="1"/>
  <c r="T90" i="13"/>
  <c r="V90" i="13" s="1"/>
  <c r="N91" i="13"/>
  <c r="O91" i="13"/>
  <c r="Q91" i="13" s="1"/>
  <c r="T91" i="13"/>
  <c r="V91" i="13" s="1"/>
  <c r="N92" i="13"/>
  <c r="U92" i="13" s="1"/>
  <c r="O92" i="13"/>
  <c r="Q92" i="13" s="1"/>
  <c r="T92" i="13"/>
  <c r="V92" i="13" s="1"/>
  <c r="N93" i="13"/>
  <c r="O93" i="13"/>
  <c r="Q93" i="13" s="1"/>
  <c r="T93" i="13"/>
  <c r="V93" i="13" s="1"/>
  <c r="N94" i="13"/>
  <c r="P94" i="13" s="1"/>
  <c r="O94" i="13"/>
  <c r="Q94" i="13" s="1"/>
  <c r="T94" i="13"/>
  <c r="V94" i="13" s="1"/>
  <c r="N95" i="13"/>
  <c r="U95" i="13" s="1"/>
  <c r="O95" i="13"/>
  <c r="Q95" i="13" s="1"/>
  <c r="T95" i="13"/>
  <c r="V95" i="13" s="1"/>
  <c r="N96" i="13"/>
  <c r="O96" i="13"/>
  <c r="Q96" i="13" s="1"/>
  <c r="T96" i="13"/>
  <c r="V96" i="13" s="1"/>
  <c r="N97" i="13"/>
  <c r="O97" i="13"/>
  <c r="Q97" i="13" s="1"/>
  <c r="T97" i="13"/>
  <c r="V97" i="13" s="1"/>
  <c r="N98" i="13"/>
  <c r="P98" i="13" s="1"/>
  <c r="O98" i="13"/>
  <c r="Q98" i="13" s="1"/>
  <c r="T98" i="13"/>
  <c r="V98" i="13" s="1"/>
  <c r="N99" i="13"/>
  <c r="O99" i="13"/>
  <c r="Q99" i="13" s="1"/>
  <c r="T99" i="13"/>
  <c r="V99" i="13" s="1"/>
  <c r="N100" i="13"/>
  <c r="U100" i="13" s="1"/>
  <c r="O100" i="13"/>
  <c r="Q100" i="13" s="1"/>
  <c r="T100" i="13"/>
  <c r="V100" i="13" s="1"/>
  <c r="N101" i="13"/>
  <c r="O101" i="13"/>
  <c r="Q101" i="13" s="1"/>
  <c r="T101" i="13"/>
  <c r="V101" i="13" s="1"/>
  <c r="N102" i="13"/>
  <c r="P102" i="13" s="1"/>
  <c r="O102" i="13"/>
  <c r="Q102" i="13" s="1"/>
  <c r="T102" i="13"/>
  <c r="V102" i="13" s="1"/>
  <c r="N103" i="13"/>
  <c r="O103" i="13"/>
  <c r="Q103" i="13" s="1"/>
  <c r="T103" i="13"/>
  <c r="V103" i="13" s="1"/>
  <c r="N104" i="13"/>
  <c r="O104" i="13"/>
  <c r="Q104" i="13" s="1"/>
  <c r="T104" i="13"/>
  <c r="V104" i="13"/>
  <c r="N105" i="13"/>
  <c r="P105" i="13" s="1"/>
  <c r="O105" i="13"/>
  <c r="Q105" i="13" s="1"/>
  <c r="T105" i="13"/>
  <c r="V105" i="13"/>
  <c r="N106" i="13"/>
  <c r="O106" i="13"/>
  <c r="Q106" i="13" s="1"/>
  <c r="T106" i="13"/>
  <c r="V106" i="13" s="1"/>
  <c r="N107" i="13"/>
  <c r="U107" i="13" s="1"/>
  <c r="O107" i="13"/>
  <c r="Q107" i="13" s="1"/>
  <c r="T107" i="13"/>
  <c r="V107" i="13" s="1"/>
  <c r="N108" i="13"/>
  <c r="U108" i="13" s="1"/>
  <c r="O108" i="13"/>
  <c r="Q108" i="13" s="1"/>
  <c r="T108" i="13"/>
  <c r="V108" i="13" s="1"/>
  <c r="N109" i="13"/>
  <c r="P109" i="13" s="1"/>
  <c r="O109" i="13"/>
  <c r="Q109" i="13" s="1"/>
  <c r="T109" i="13"/>
  <c r="V109" i="13" s="1"/>
  <c r="N110" i="13"/>
  <c r="O110" i="13"/>
  <c r="Q110" i="13" s="1"/>
  <c r="T110" i="13"/>
  <c r="V110" i="13" s="1"/>
  <c r="N111" i="13"/>
  <c r="O111" i="13"/>
  <c r="Q111" i="13" s="1"/>
  <c r="T111" i="13"/>
  <c r="V111" i="13" s="1"/>
  <c r="N112" i="13"/>
  <c r="O112" i="13"/>
  <c r="Q112" i="13" s="1"/>
  <c r="T112" i="13"/>
  <c r="V112" i="13" s="1"/>
  <c r="N113" i="13"/>
  <c r="O113" i="13"/>
  <c r="Q113" i="13" s="1"/>
  <c r="T113" i="13"/>
  <c r="V113" i="13" s="1"/>
  <c r="N114" i="13"/>
  <c r="U114" i="13" s="1"/>
  <c r="O114" i="13"/>
  <c r="Q114" i="13" s="1"/>
  <c r="T114" i="13"/>
  <c r="V114" i="13" s="1"/>
  <c r="N115" i="13"/>
  <c r="P115" i="13" s="1"/>
  <c r="O115" i="13"/>
  <c r="Q115" i="13" s="1"/>
  <c r="T115" i="13"/>
  <c r="V115" i="13" s="1"/>
  <c r="N116" i="13"/>
  <c r="U116" i="13" s="1"/>
  <c r="O116" i="13"/>
  <c r="Q116" i="13" s="1"/>
  <c r="T116" i="13"/>
  <c r="V116" i="13" s="1"/>
  <c r="N117" i="13"/>
  <c r="O117" i="13"/>
  <c r="Q117" i="13" s="1"/>
  <c r="T117" i="13"/>
  <c r="V117" i="13" s="1"/>
  <c r="N118" i="13"/>
  <c r="O118" i="13"/>
  <c r="Q118" i="13" s="1"/>
  <c r="T118" i="13"/>
  <c r="V118" i="13" s="1"/>
  <c r="N119" i="13"/>
  <c r="P119" i="13" s="1"/>
  <c r="O119" i="13"/>
  <c r="Q119" i="13" s="1"/>
  <c r="T119" i="13"/>
  <c r="V119" i="13" s="1"/>
  <c r="N120" i="13"/>
  <c r="O120" i="13"/>
  <c r="Q120" i="13" s="1"/>
  <c r="T120" i="13"/>
  <c r="V120" i="13" s="1"/>
  <c r="N121" i="13"/>
  <c r="O121" i="13"/>
  <c r="Q121" i="13" s="1"/>
  <c r="T121" i="13"/>
  <c r="V121" i="13" s="1"/>
  <c r="N122" i="13"/>
  <c r="U122" i="13" s="1"/>
  <c r="O122" i="13"/>
  <c r="Q122" i="13" s="1"/>
  <c r="T122" i="13"/>
  <c r="V122" i="13" s="1"/>
  <c r="N123" i="13"/>
  <c r="U123" i="13" s="1"/>
  <c r="O123" i="13"/>
  <c r="Q123" i="13" s="1"/>
  <c r="T123" i="13"/>
  <c r="V123" i="13" s="1"/>
  <c r="N124" i="13"/>
  <c r="O124" i="13"/>
  <c r="Q124" i="13" s="1"/>
  <c r="T124" i="13"/>
  <c r="V124" i="13" s="1"/>
  <c r="N125" i="13"/>
  <c r="O125" i="13"/>
  <c r="Q125" i="13" s="1"/>
  <c r="T125" i="13"/>
  <c r="V125" i="13" s="1"/>
  <c r="N126" i="13"/>
  <c r="P126" i="13" s="1"/>
  <c r="O126" i="13"/>
  <c r="Q126" i="13" s="1"/>
  <c r="T126" i="13"/>
  <c r="V126" i="13" s="1"/>
  <c r="N127" i="13"/>
  <c r="O127" i="13"/>
  <c r="Q127" i="13" s="1"/>
  <c r="T127" i="13"/>
  <c r="V127" i="13" s="1"/>
  <c r="N128" i="13"/>
  <c r="U128" i="13" s="1"/>
  <c r="O128" i="13"/>
  <c r="Q128" i="13" s="1"/>
  <c r="T128" i="13"/>
  <c r="V128" i="13" s="1"/>
  <c r="N129" i="13"/>
  <c r="O129" i="13"/>
  <c r="Q129" i="13" s="1"/>
  <c r="T129" i="13"/>
  <c r="V129" i="13" s="1"/>
  <c r="N130" i="13"/>
  <c r="U130" i="13" s="1"/>
  <c r="O130" i="13"/>
  <c r="Q130" i="13" s="1"/>
  <c r="T130" i="13"/>
  <c r="V130" i="13" s="1"/>
  <c r="N131" i="13"/>
  <c r="O131" i="13"/>
  <c r="Q131" i="13" s="1"/>
  <c r="T131" i="13"/>
  <c r="V131" i="13" s="1"/>
  <c r="N132" i="13"/>
  <c r="O132" i="13"/>
  <c r="Q132" i="13" s="1"/>
  <c r="T132" i="13"/>
  <c r="V132" i="13" s="1"/>
  <c r="N133" i="13"/>
  <c r="O133" i="13"/>
  <c r="Q133" i="13" s="1"/>
  <c r="T133" i="13"/>
  <c r="V133" i="13" s="1"/>
  <c r="N134" i="13"/>
  <c r="O134" i="13"/>
  <c r="Q134" i="13" s="1"/>
  <c r="T134" i="13"/>
  <c r="V134" i="13" s="1"/>
  <c r="N135" i="13"/>
  <c r="U135" i="13" s="1"/>
  <c r="O135" i="13"/>
  <c r="Q135" i="13" s="1"/>
  <c r="T135" i="13"/>
  <c r="V135" i="13" s="1"/>
  <c r="N136" i="13"/>
  <c r="O136" i="13"/>
  <c r="Q136" i="13" s="1"/>
  <c r="T136" i="13"/>
  <c r="V136" i="13" s="1"/>
  <c r="N137" i="13"/>
  <c r="P137" i="13" s="1"/>
  <c r="O137" i="13"/>
  <c r="Q137" i="13" s="1"/>
  <c r="T137" i="13"/>
  <c r="V137" i="13" s="1"/>
  <c r="N138" i="13"/>
  <c r="O138" i="13"/>
  <c r="Q138" i="13" s="1"/>
  <c r="T138" i="13"/>
  <c r="V138" i="13" s="1"/>
  <c r="N139" i="13"/>
  <c r="O139" i="13"/>
  <c r="Q139" i="13" s="1"/>
  <c r="T139" i="13"/>
  <c r="V139" i="13" s="1"/>
  <c r="N140" i="13"/>
  <c r="O140" i="13"/>
  <c r="Q140" i="13" s="1"/>
  <c r="T140" i="13"/>
  <c r="V140" i="13" s="1"/>
  <c r="N141" i="13"/>
  <c r="P141" i="13" s="1"/>
  <c r="O141" i="13"/>
  <c r="Q141" i="13" s="1"/>
  <c r="T141" i="13"/>
  <c r="V141" i="13" s="1"/>
  <c r="N142" i="13"/>
  <c r="U142" i="13" s="1"/>
  <c r="O142" i="13"/>
  <c r="Q142" i="13" s="1"/>
  <c r="T142" i="13"/>
  <c r="V142" i="13" s="1"/>
  <c r="N143" i="13"/>
  <c r="O143" i="13"/>
  <c r="Q143" i="13" s="1"/>
  <c r="T143" i="13"/>
  <c r="V143" i="13" s="1"/>
  <c r="N144" i="13"/>
  <c r="O144" i="13"/>
  <c r="Q144" i="13" s="1"/>
  <c r="T144" i="13"/>
  <c r="V144" i="13" s="1"/>
  <c r="N145" i="13"/>
  <c r="O145" i="13"/>
  <c r="Q145" i="13" s="1"/>
  <c r="T145" i="13"/>
  <c r="V145" i="13" s="1"/>
  <c r="N146" i="13"/>
  <c r="U146" i="13" s="1"/>
  <c r="O146" i="13"/>
  <c r="Q146" i="13" s="1"/>
  <c r="T146" i="13"/>
  <c r="V146" i="13" s="1"/>
  <c r="N147" i="13"/>
  <c r="P147" i="13" s="1"/>
  <c r="O147" i="13"/>
  <c r="Q147" i="13" s="1"/>
  <c r="T147" i="13"/>
  <c r="V147" i="13" s="1"/>
  <c r="N148" i="13"/>
  <c r="O148" i="13"/>
  <c r="Q148" i="13" s="1"/>
  <c r="T148" i="13"/>
  <c r="V148" i="13" s="1"/>
  <c r="N149" i="13"/>
  <c r="O149" i="13"/>
  <c r="Q149" i="13" s="1"/>
  <c r="T149" i="13"/>
  <c r="V149" i="13" s="1"/>
  <c r="N150" i="13"/>
  <c r="O150" i="13"/>
  <c r="Q150" i="13" s="1"/>
  <c r="T150" i="13"/>
  <c r="V150" i="13" s="1"/>
  <c r="N151" i="13"/>
  <c r="U151" i="13" s="1"/>
  <c r="O151" i="13"/>
  <c r="Q151" i="13" s="1"/>
  <c r="T151" i="13"/>
  <c r="V151" i="13" s="1"/>
  <c r="N152" i="13"/>
  <c r="O152" i="13"/>
  <c r="Q152" i="13" s="1"/>
  <c r="T152" i="13"/>
  <c r="V152" i="13" s="1"/>
  <c r="N153" i="13"/>
  <c r="U153" i="13" s="1"/>
  <c r="O153" i="13"/>
  <c r="Q153" i="13" s="1"/>
  <c r="T153" i="13"/>
  <c r="V153" i="13" s="1"/>
  <c r="N154" i="13"/>
  <c r="O154" i="13"/>
  <c r="Q154" i="13" s="1"/>
  <c r="T154" i="13"/>
  <c r="V154" i="13" s="1"/>
  <c r="N155" i="13"/>
  <c r="O155" i="13"/>
  <c r="Q155" i="13" s="1"/>
  <c r="T155" i="13"/>
  <c r="V155" i="13" s="1"/>
  <c r="N156" i="13"/>
  <c r="O156" i="13"/>
  <c r="Q156" i="13" s="1"/>
  <c r="T156" i="13"/>
  <c r="V156" i="13" s="1"/>
  <c r="N157" i="13"/>
  <c r="U157" i="13" s="1"/>
  <c r="O157" i="13"/>
  <c r="Q157" i="13" s="1"/>
  <c r="T157" i="13"/>
  <c r="V157" i="13" s="1"/>
  <c r="N158" i="13"/>
  <c r="P158" i="13" s="1"/>
  <c r="O158" i="13"/>
  <c r="Q158" i="13" s="1"/>
  <c r="T158" i="13"/>
  <c r="V158" i="13" s="1"/>
  <c r="N159" i="13"/>
  <c r="O159" i="13"/>
  <c r="Q159" i="13" s="1"/>
  <c r="T159" i="13"/>
  <c r="V159" i="13" s="1"/>
  <c r="N160" i="13"/>
  <c r="O160" i="13"/>
  <c r="Q160" i="13" s="1"/>
  <c r="T160" i="13"/>
  <c r="V160" i="13" s="1"/>
  <c r="N161" i="13"/>
  <c r="O161" i="13"/>
  <c r="Q161" i="13" s="1"/>
  <c r="T161" i="13"/>
  <c r="V161" i="13" s="1"/>
  <c r="N162" i="13"/>
  <c r="P162" i="13" s="1"/>
  <c r="O162" i="13"/>
  <c r="Q162" i="13" s="1"/>
  <c r="T162" i="13"/>
  <c r="V162" i="13" s="1"/>
  <c r="N163" i="13"/>
  <c r="U163" i="13" s="1"/>
  <c r="O163" i="13"/>
  <c r="Q163" i="13" s="1"/>
  <c r="T163" i="13"/>
  <c r="V163" i="13" s="1"/>
  <c r="N164" i="13"/>
  <c r="O164" i="13"/>
  <c r="Q164" i="13" s="1"/>
  <c r="T164" i="13"/>
  <c r="V164" i="13" s="1"/>
  <c r="N165" i="13"/>
  <c r="O165" i="13"/>
  <c r="Q165" i="13" s="1"/>
  <c r="T165" i="13"/>
  <c r="V165" i="13" s="1"/>
  <c r="N166" i="13"/>
  <c r="O166" i="13"/>
  <c r="Q166" i="13" s="1"/>
  <c r="T166" i="13"/>
  <c r="V166" i="13" s="1"/>
  <c r="N167" i="13"/>
  <c r="U167" i="13" s="1"/>
  <c r="O167" i="13"/>
  <c r="Q167" i="13" s="1"/>
  <c r="T167" i="13"/>
  <c r="V167" i="13" s="1"/>
  <c r="N168" i="13"/>
  <c r="O168" i="13"/>
  <c r="Q168" i="13" s="1"/>
  <c r="T168" i="13"/>
  <c r="V168" i="13" s="1"/>
  <c r="N169" i="13"/>
  <c r="P169" i="13" s="1"/>
  <c r="O169" i="13"/>
  <c r="Q169" i="13" s="1"/>
  <c r="T169" i="13"/>
  <c r="V169" i="13" s="1"/>
  <c r="N170" i="13"/>
  <c r="O170" i="13"/>
  <c r="Q170" i="13" s="1"/>
  <c r="T170" i="13"/>
  <c r="V170" i="13" s="1"/>
  <c r="N171" i="13"/>
  <c r="O171" i="13"/>
  <c r="Q171" i="13" s="1"/>
  <c r="T171" i="13"/>
  <c r="V171" i="13" s="1"/>
  <c r="N172" i="13"/>
  <c r="O172" i="13"/>
  <c r="Q172" i="13" s="1"/>
  <c r="T172" i="13"/>
  <c r="V172" i="13" s="1"/>
  <c r="N173" i="13"/>
  <c r="U173" i="13" s="1"/>
  <c r="O173" i="13"/>
  <c r="Q173" i="13" s="1"/>
  <c r="T173" i="13"/>
  <c r="V173" i="13" s="1"/>
  <c r="N174" i="13"/>
  <c r="U174" i="13" s="1"/>
  <c r="O174" i="13"/>
  <c r="Q174" i="13" s="1"/>
  <c r="T174" i="13"/>
  <c r="V174" i="13" s="1"/>
  <c r="N175" i="13"/>
  <c r="O175" i="13"/>
  <c r="Q175" i="13" s="1"/>
  <c r="T175" i="13"/>
  <c r="V175" i="13" s="1"/>
  <c r="N176" i="13"/>
  <c r="O176" i="13"/>
  <c r="Q176" i="13" s="1"/>
  <c r="T176" i="13"/>
  <c r="V176" i="13" s="1"/>
  <c r="N177" i="13"/>
  <c r="O177" i="13"/>
  <c r="Q177" i="13" s="1"/>
  <c r="T177" i="13"/>
  <c r="V177" i="13" s="1"/>
  <c r="N178" i="13"/>
  <c r="U178" i="13" s="1"/>
  <c r="O178" i="13"/>
  <c r="Q178" i="13" s="1"/>
  <c r="T178" i="13"/>
  <c r="V178" i="13" s="1"/>
  <c r="N179" i="13"/>
  <c r="P179" i="13" s="1"/>
  <c r="O179" i="13"/>
  <c r="Q179" i="13" s="1"/>
  <c r="T179" i="13"/>
  <c r="V179" i="13" s="1"/>
  <c r="N180" i="13"/>
  <c r="O180" i="13"/>
  <c r="Q180" i="13" s="1"/>
  <c r="T180" i="13"/>
  <c r="V180" i="13" s="1"/>
  <c r="N181" i="13"/>
  <c r="O181" i="13"/>
  <c r="Q181" i="13" s="1"/>
  <c r="T181" i="13"/>
  <c r="V181" i="13" s="1"/>
  <c r="N182" i="13"/>
  <c r="O182" i="13"/>
  <c r="Q182" i="13" s="1"/>
  <c r="T182" i="13"/>
  <c r="V182" i="13" s="1"/>
  <c r="N183" i="13"/>
  <c r="P183" i="13" s="1"/>
  <c r="O183" i="13"/>
  <c r="Q183" i="13" s="1"/>
  <c r="T183" i="13"/>
  <c r="V183" i="13" s="1"/>
  <c r="N184" i="13"/>
  <c r="O184" i="13"/>
  <c r="Q184" i="13" s="1"/>
  <c r="T184" i="13"/>
  <c r="V184" i="13" s="1"/>
  <c r="N185" i="13"/>
  <c r="O185" i="13"/>
  <c r="Q185" i="13" s="1"/>
  <c r="T185" i="13"/>
  <c r="V185" i="13" s="1"/>
  <c r="N186" i="13"/>
  <c r="O186" i="13"/>
  <c r="Q186" i="13" s="1"/>
  <c r="T186" i="13"/>
  <c r="V186" i="13" s="1"/>
  <c r="N187" i="13"/>
  <c r="O187" i="13"/>
  <c r="Q187" i="13" s="1"/>
  <c r="T187" i="13"/>
  <c r="V187" i="13" s="1"/>
  <c r="N188" i="13"/>
  <c r="O188" i="13"/>
  <c r="Q188" i="13" s="1"/>
  <c r="T188" i="13"/>
  <c r="V188" i="13" s="1"/>
  <c r="N189" i="13"/>
  <c r="U189" i="13" s="1"/>
  <c r="O189" i="13"/>
  <c r="Q189" i="13" s="1"/>
  <c r="T189" i="13"/>
  <c r="V189" i="13" s="1"/>
  <c r="N190" i="13"/>
  <c r="O190" i="13"/>
  <c r="Q190" i="13" s="1"/>
  <c r="T190" i="13"/>
  <c r="V190" i="13" s="1"/>
  <c r="N191" i="13"/>
  <c r="O191" i="13"/>
  <c r="Q191" i="13" s="1"/>
  <c r="T191" i="13"/>
  <c r="V191" i="13" s="1"/>
  <c r="N192" i="13"/>
  <c r="O192" i="13"/>
  <c r="Q192" i="13" s="1"/>
  <c r="T192" i="13"/>
  <c r="V192" i="13" s="1"/>
  <c r="N193" i="13"/>
  <c r="O193" i="13"/>
  <c r="Q193" i="13" s="1"/>
  <c r="T193" i="13"/>
  <c r="V193" i="13" s="1"/>
  <c r="N194" i="13"/>
  <c r="U194" i="13" s="1"/>
  <c r="O194" i="13"/>
  <c r="Q194" i="13" s="1"/>
  <c r="T194" i="13"/>
  <c r="V194" i="13" s="1"/>
  <c r="N195" i="13"/>
  <c r="U195" i="13" s="1"/>
  <c r="O195" i="13"/>
  <c r="Q195" i="13" s="1"/>
  <c r="T195" i="13"/>
  <c r="V195" i="13" s="1"/>
  <c r="N196" i="13"/>
  <c r="O196" i="13"/>
  <c r="Q196" i="13" s="1"/>
  <c r="T196" i="13"/>
  <c r="V196" i="13" s="1"/>
  <c r="N197" i="13"/>
  <c r="O197" i="13"/>
  <c r="Q197" i="13" s="1"/>
  <c r="T197" i="13"/>
  <c r="V197" i="13" s="1"/>
  <c r="N198" i="13"/>
  <c r="O198" i="13"/>
  <c r="Q198" i="13" s="1"/>
  <c r="T198" i="13"/>
  <c r="V198" i="13" s="1"/>
  <c r="N199" i="13"/>
  <c r="U199" i="13" s="1"/>
  <c r="O199" i="13"/>
  <c r="Q199" i="13" s="1"/>
  <c r="T199" i="13"/>
  <c r="V199" i="13" s="1"/>
  <c r="N200" i="13"/>
  <c r="O200" i="13"/>
  <c r="Q200" i="13" s="1"/>
  <c r="T200" i="13"/>
  <c r="V200" i="13" s="1"/>
  <c r="N201" i="13"/>
  <c r="P201" i="13" s="1"/>
  <c r="O201" i="13"/>
  <c r="Q201" i="13" s="1"/>
  <c r="T201" i="13"/>
  <c r="V201" i="13" s="1"/>
  <c r="N202" i="13"/>
  <c r="O202" i="13"/>
  <c r="Q202" i="13" s="1"/>
  <c r="T202" i="13"/>
  <c r="V202" i="13" s="1"/>
  <c r="N203" i="13"/>
  <c r="O203" i="13"/>
  <c r="Q203" i="13" s="1"/>
  <c r="T203" i="13"/>
  <c r="V203" i="13" s="1"/>
  <c r="N204" i="13"/>
  <c r="O204" i="13"/>
  <c r="Q204" i="13" s="1"/>
  <c r="T204" i="13"/>
  <c r="V204" i="13" s="1"/>
  <c r="N205" i="13"/>
  <c r="U205" i="13" s="1"/>
  <c r="O205" i="13"/>
  <c r="Q205" i="13" s="1"/>
  <c r="T205" i="13"/>
  <c r="V205" i="13" s="1"/>
  <c r="N206" i="13"/>
  <c r="P206" i="13" s="1"/>
  <c r="O206" i="13"/>
  <c r="Q206" i="13" s="1"/>
  <c r="T206" i="13"/>
  <c r="V206" i="13" s="1"/>
  <c r="T7" i="13"/>
  <c r="V7" i="13" s="1"/>
  <c r="O7" i="13"/>
  <c r="Q7" i="13" s="1"/>
  <c r="B117" i="14"/>
  <c r="B116" i="14"/>
  <c r="N8" i="14"/>
  <c r="N9" i="14"/>
  <c r="P9" i="14" s="1"/>
  <c r="N10" i="14"/>
  <c r="P10" i="14" s="1"/>
  <c r="N11" i="14"/>
  <c r="N12" i="14"/>
  <c r="N13" i="14"/>
  <c r="N14" i="14"/>
  <c r="N15" i="14"/>
  <c r="N16" i="14"/>
  <c r="N17" i="14"/>
  <c r="N18" i="14"/>
  <c r="N19" i="14"/>
  <c r="N20" i="14"/>
  <c r="N21" i="14"/>
  <c r="P21" i="14" s="1"/>
  <c r="N22" i="14"/>
  <c r="N23" i="14"/>
  <c r="N24" i="14"/>
  <c r="N25" i="14"/>
  <c r="P25" i="14" s="1"/>
  <c r="N26" i="14"/>
  <c r="P26" i="14" s="1"/>
  <c r="N27" i="14"/>
  <c r="N28" i="14"/>
  <c r="N29" i="14"/>
  <c r="N30" i="14"/>
  <c r="N31" i="14"/>
  <c r="N32" i="14"/>
  <c r="U32" i="14" s="1"/>
  <c r="N33" i="14"/>
  <c r="N34" i="14"/>
  <c r="N35" i="14"/>
  <c r="N36" i="14"/>
  <c r="N37" i="14"/>
  <c r="P37" i="14" s="1"/>
  <c r="N38" i="14"/>
  <c r="N39" i="14"/>
  <c r="N40" i="14"/>
  <c r="N41" i="14"/>
  <c r="P41" i="14" s="1"/>
  <c r="N42" i="14"/>
  <c r="P42" i="14" s="1"/>
  <c r="N43" i="14"/>
  <c r="N44" i="14"/>
  <c r="N45" i="14"/>
  <c r="P45" i="14" s="1"/>
  <c r="N46" i="14"/>
  <c r="P46" i="14" s="1"/>
  <c r="N47" i="14"/>
  <c r="N48" i="14"/>
  <c r="N49" i="14"/>
  <c r="P49" i="14" s="1"/>
  <c r="N50" i="14"/>
  <c r="P50" i="14" s="1"/>
  <c r="N51" i="14"/>
  <c r="P51" i="14" s="1"/>
  <c r="N52" i="14"/>
  <c r="N53" i="14"/>
  <c r="P53" i="14" s="1"/>
  <c r="N54" i="14"/>
  <c r="P54" i="14" s="1"/>
  <c r="N55" i="14"/>
  <c r="N56" i="14"/>
  <c r="N57" i="14"/>
  <c r="P57" i="14" s="1"/>
  <c r="N58" i="14"/>
  <c r="N59" i="14"/>
  <c r="N60" i="14"/>
  <c r="N61" i="14"/>
  <c r="N62" i="14"/>
  <c r="P62" i="14" s="1"/>
  <c r="N63" i="14"/>
  <c r="N64" i="14"/>
  <c r="N65" i="14"/>
  <c r="N66" i="14"/>
  <c r="P66" i="14" s="1"/>
  <c r="N67" i="14"/>
  <c r="P67" i="14" s="1"/>
  <c r="N68" i="14"/>
  <c r="U68" i="14" s="1"/>
  <c r="N69" i="14"/>
  <c r="P69" i="14" s="1"/>
  <c r="N70" i="14"/>
  <c r="P70" i="14" s="1"/>
  <c r="N71" i="14"/>
  <c r="N72" i="14"/>
  <c r="N73" i="14"/>
  <c r="P73" i="14" s="1"/>
  <c r="N74" i="14"/>
  <c r="N75" i="14"/>
  <c r="N76" i="14"/>
  <c r="N77" i="14"/>
  <c r="N78" i="14"/>
  <c r="N79" i="14"/>
  <c r="U79" i="14" s="1"/>
  <c r="N80" i="14"/>
  <c r="N81" i="14"/>
  <c r="N82" i="14"/>
  <c r="P82" i="14" s="1"/>
  <c r="N83" i="14"/>
  <c r="P83" i="14" s="1"/>
  <c r="N84" i="14"/>
  <c r="U84" i="14" s="1"/>
  <c r="N85" i="14"/>
  <c r="P85" i="14" s="1"/>
  <c r="N86" i="14"/>
  <c r="N87" i="14"/>
  <c r="N88" i="14"/>
  <c r="N89" i="14"/>
  <c r="P89" i="14" s="1"/>
  <c r="N90" i="14"/>
  <c r="N91" i="14"/>
  <c r="N92" i="14"/>
  <c r="N93" i="14"/>
  <c r="P93" i="14" s="1"/>
  <c r="N94" i="14"/>
  <c r="N95" i="14"/>
  <c r="N96" i="14"/>
  <c r="N97" i="14"/>
  <c r="N98" i="14"/>
  <c r="P98" i="14" s="1"/>
  <c r="N99" i="14"/>
  <c r="P99" i="14" s="1"/>
  <c r="N100" i="14"/>
  <c r="U100" i="14" s="1"/>
  <c r="N101" i="14"/>
  <c r="P101" i="14" s="1"/>
  <c r="N102" i="14"/>
  <c r="P102" i="14" s="1"/>
  <c r="N103" i="14"/>
  <c r="N104" i="14"/>
  <c r="N105" i="14"/>
  <c r="P105" i="14" s="1"/>
  <c r="N106" i="14"/>
  <c r="N7" i="14"/>
  <c r="C123" i="14"/>
  <c r="C125" i="14" s="1"/>
  <c r="J124" i="14"/>
  <c r="J8" i="4"/>
  <c r="G124" i="14"/>
  <c r="G123" i="14"/>
  <c r="G8" i="4"/>
  <c r="C18" i="4"/>
  <c r="G18" i="4" s="1"/>
  <c r="E124" i="14"/>
  <c r="E8" i="4"/>
  <c r="H8" i="4" s="1"/>
  <c r="E56" i="4"/>
  <c r="E57" i="4"/>
  <c r="E58" i="4"/>
  <c r="H58" i="4" s="1"/>
  <c r="E59" i="4"/>
  <c r="E60" i="4"/>
  <c r="E61" i="4"/>
  <c r="E62" i="4"/>
  <c r="H62" i="4" s="1"/>
  <c r="E63" i="4"/>
  <c r="E64" i="4"/>
  <c r="E65" i="4"/>
  <c r="H65" i="4" s="1"/>
  <c r="E66" i="4"/>
  <c r="H66" i="4" s="1"/>
  <c r="E67" i="4"/>
  <c r="E68" i="4"/>
  <c r="E69" i="4"/>
  <c r="E70" i="4"/>
  <c r="H70" i="4" s="1"/>
  <c r="E71" i="4"/>
  <c r="E72" i="4"/>
  <c r="E73" i="4"/>
  <c r="E74" i="4"/>
  <c r="H74" i="4" s="1"/>
  <c r="E75" i="4"/>
  <c r="E76" i="4"/>
  <c r="E77" i="4"/>
  <c r="E78" i="4"/>
  <c r="H78" i="4" s="1"/>
  <c r="E79" i="4"/>
  <c r="E80" i="4"/>
  <c r="E81" i="4"/>
  <c r="E82" i="4"/>
  <c r="H82" i="4" s="1"/>
  <c r="E83" i="4"/>
  <c r="E84" i="4"/>
  <c r="E55" i="4"/>
  <c r="H55" i="4" s="1"/>
  <c r="E52" i="4"/>
  <c r="H52" i="4" s="1"/>
  <c r="E53" i="4"/>
  <c r="E46" i="4"/>
  <c r="H46" i="4" s="1"/>
  <c r="E47" i="4"/>
  <c r="E48" i="4"/>
  <c r="H48" i="4" s="1"/>
  <c r="E49" i="4"/>
  <c r="E44" i="4"/>
  <c r="H44" i="4" s="1"/>
  <c r="E41" i="4"/>
  <c r="H41" i="4" s="1"/>
  <c r="E42" i="4"/>
  <c r="H42" i="4" s="1"/>
  <c r="E33" i="4"/>
  <c r="E34" i="4"/>
  <c r="E35" i="4"/>
  <c r="H35" i="4" s="1"/>
  <c r="E36" i="4"/>
  <c r="E32"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55" i="4"/>
  <c r="J52" i="4"/>
  <c r="J53" i="4"/>
  <c r="J46" i="4"/>
  <c r="J47" i="4"/>
  <c r="J48" i="4"/>
  <c r="J49" i="4"/>
  <c r="J44" i="4"/>
  <c r="J41" i="4"/>
  <c r="J42" i="4"/>
  <c r="J33" i="4"/>
  <c r="J34" i="4"/>
  <c r="J35" i="4"/>
  <c r="J36" i="4"/>
  <c r="J32" i="4"/>
  <c r="J26" i="4"/>
  <c r="J27" i="4"/>
  <c r="J28" i="4"/>
  <c r="J29" i="4"/>
  <c r="J30" i="4"/>
  <c r="J21" i="4"/>
  <c r="J22" i="4"/>
  <c r="J23" i="4"/>
  <c r="J24" i="4"/>
  <c r="J25" i="4"/>
  <c r="J17" i="4"/>
  <c r="J9" i="4"/>
  <c r="J10" i="4"/>
  <c r="J11" i="4"/>
  <c r="J12" i="4"/>
  <c r="J13" i="4"/>
  <c r="J14" i="4"/>
  <c r="J1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55" i="4"/>
  <c r="G52" i="4"/>
  <c r="G53" i="4"/>
  <c r="G46" i="4"/>
  <c r="G47" i="4"/>
  <c r="G48" i="4"/>
  <c r="G49" i="4"/>
  <c r="G44" i="4"/>
  <c r="G41" i="4"/>
  <c r="G42" i="4"/>
  <c r="C51" i="4"/>
  <c r="J51" i="4" s="1"/>
  <c r="C45" i="4"/>
  <c r="G45" i="4" s="1"/>
  <c r="C40" i="4"/>
  <c r="J40" i="4" s="1"/>
  <c r="C39" i="4"/>
  <c r="G39" i="4" s="1"/>
  <c r="C38" i="4"/>
  <c r="J38" i="4" s="1"/>
  <c r="G33" i="4"/>
  <c r="G34" i="4"/>
  <c r="G35" i="4"/>
  <c r="G36" i="4"/>
  <c r="G32" i="4"/>
  <c r="G21" i="4"/>
  <c r="G22" i="4"/>
  <c r="G23" i="4"/>
  <c r="G24" i="4"/>
  <c r="G25" i="4"/>
  <c r="G26" i="4"/>
  <c r="G27" i="4"/>
  <c r="G28" i="4"/>
  <c r="G29" i="4"/>
  <c r="G30" i="4"/>
  <c r="G17" i="4"/>
  <c r="G9" i="4"/>
  <c r="G10" i="4"/>
  <c r="G11" i="4"/>
  <c r="G12" i="4"/>
  <c r="G13" i="4"/>
  <c r="G14" i="4"/>
  <c r="G15" i="4"/>
  <c r="C20" i="4"/>
  <c r="E20" i="4" s="1"/>
  <c r="H20" i="4" s="1"/>
  <c r="C19" i="4"/>
  <c r="G19" i="4" s="1"/>
  <c r="E21" i="4"/>
  <c r="E22" i="4"/>
  <c r="E23" i="4"/>
  <c r="H23" i="4" s="1"/>
  <c r="E24" i="4"/>
  <c r="H24" i="4" s="1"/>
  <c r="E25" i="4"/>
  <c r="E26" i="4"/>
  <c r="E27" i="4"/>
  <c r="H27" i="4" s="1"/>
  <c r="E28" i="4"/>
  <c r="H28" i="4" s="1"/>
  <c r="E29" i="4"/>
  <c r="E30" i="4"/>
  <c r="E17" i="4"/>
  <c r="H17" i="4" s="1"/>
  <c r="E9" i="4"/>
  <c r="H9" i="4" s="1"/>
  <c r="E10" i="4"/>
  <c r="E11" i="4"/>
  <c r="E12" i="4"/>
  <c r="H12" i="4" s="1"/>
  <c r="E13" i="4"/>
  <c r="H13" i="4" s="1"/>
  <c r="E14" i="4"/>
  <c r="E15" i="4"/>
  <c r="K22" i="4" l="1"/>
  <c r="K14" i="4"/>
  <c r="K10" i="4"/>
  <c r="K35" i="4"/>
  <c r="K11" i="4"/>
  <c r="K21" i="4"/>
  <c r="K25" i="4"/>
  <c r="K34" i="4"/>
  <c r="K53" i="4"/>
  <c r="K79" i="4"/>
  <c r="K30" i="4"/>
  <c r="K36" i="4"/>
  <c r="J19" i="4"/>
  <c r="K15" i="4"/>
  <c r="P87" i="13"/>
  <c r="K46" i="4"/>
  <c r="U169" i="13"/>
  <c r="K66" i="4"/>
  <c r="K58" i="4"/>
  <c r="K74" i="4"/>
  <c r="K42" i="4"/>
  <c r="K62" i="4"/>
  <c r="K23" i="4"/>
  <c r="K44" i="4"/>
  <c r="P58" i="13"/>
  <c r="K17" i="4"/>
  <c r="K78" i="4"/>
  <c r="K24" i="4"/>
  <c r="U201" i="13"/>
  <c r="P199" i="13"/>
  <c r="P174" i="13"/>
  <c r="U105" i="13"/>
  <c r="P116" i="13"/>
  <c r="K70" i="4"/>
  <c r="K52" i="4"/>
  <c r="P71" i="13"/>
  <c r="P190" i="13"/>
  <c r="U190" i="13"/>
  <c r="P77" i="13"/>
  <c r="U77" i="13"/>
  <c r="K12" i="4"/>
  <c r="K26" i="4"/>
  <c r="K82" i="4"/>
  <c r="K32" i="4"/>
  <c r="U185" i="13"/>
  <c r="P185" i="13"/>
  <c r="K13" i="4"/>
  <c r="K76" i="4"/>
  <c r="K68" i="4"/>
  <c r="K9" i="4"/>
  <c r="K47" i="4"/>
  <c r="H47" i="4"/>
  <c r="K83" i="4"/>
  <c r="K75" i="4"/>
  <c r="K67" i="4"/>
  <c r="K59" i="4"/>
  <c r="P83" i="13"/>
  <c r="U83" i="13"/>
  <c r="U51" i="13"/>
  <c r="K28" i="4"/>
  <c r="K33" i="4"/>
  <c r="K81" i="4"/>
  <c r="K73" i="4"/>
  <c r="K57" i="4"/>
  <c r="K84" i="4"/>
  <c r="K60" i="4"/>
  <c r="K29" i="4"/>
  <c r="K27" i="4"/>
  <c r="K80" i="4"/>
  <c r="K72" i="4"/>
  <c r="K64" i="4"/>
  <c r="K56" i="4"/>
  <c r="K124" i="14"/>
  <c r="U52" i="13"/>
  <c r="P52" i="13"/>
  <c r="P107" i="13"/>
  <c r="P66" i="13"/>
  <c r="U94" i="13"/>
  <c r="U45" i="13"/>
  <c r="P178" i="13"/>
  <c r="P92" i="13"/>
  <c r="P64" i="13"/>
  <c r="U183" i="13"/>
  <c r="K71" i="4"/>
  <c r="K63" i="4"/>
  <c r="P167" i="13"/>
  <c r="P86" i="13"/>
  <c r="U162" i="13"/>
  <c r="P157" i="13"/>
  <c r="P80" i="13"/>
  <c r="P50" i="13"/>
  <c r="U147" i="13"/>
  <c r="K49" i="4"/>
  <c r="K77" i="4"/>
  <c r="K69" i="4"/>
  <c r="K61" i="4"/>
  <c r="P97" i="14"/>
  <c r="P135" i="13"/>
  <c r="P79" i="13"/>
  <c r="P44" i="13"/>
  <c r="U126" i="13"/>
  <c r="P122" i="13"/>
  <c r="P74" i="13"/>
  <c r="U206" i="13"/>
  <c r="U119" i="13"/>
  <c r="U55" i="13"/>
  <c r="H77" i="4"/>
  <c r="H61" i="4"/>
  <c r="U106" i="14"/>
  <c r="U172" i="13"/>
  <c r="P172" i="13"/>
  <c r="U144" i="13"/>
  <c r="P144" i="13"/>
  <c r="U96" i="13"/>
  <c r="P96" i="13"/>
  <c r="P93" i="13"/>
  <c r="U93" i="13"/>
  <c r="U88" i="13"/>
  <c r="P88" i="13"/>
  <c r="P189" i="13"/>
  <c r="E40" i="4"/>
  <c r="H40" i="4" s="1"/>
  <c r="H33" i="4"/>
  <c r="H80" i="4"/>
  <c r="H72" i="4"/>
  <c r="H64" i="4"/>
  <c r="H56" i="4"/>
  <c r="K41" i="4"/>
  <c r="K55" i="4"/>
  <c r="K65" i="4"/>
  <c r="K8" i="4"/>
  <c r="U196" i="13"/>
  <c r="P196" i="13"/>
  <c r="U193" i="13"/>
  <c r="P193" i="13"/>
  <c r="U134" i="13"/>
  <c r="P134" i="13"/>
  <c r="P101" i="13"/>
  <c r="U101" i="13"/>
  <c r="U75" i="13"/>
  <c r="P75" i="13"/>
  <c r="U98" i="13"/>
  <c r="H73" i="4"/>
  <c r="H57" i="4"/>
  <c r="U188" i="13"/>
  <c r="P188" i="13"/>
  <c r="U159" i="13"/>
  <c r="P159" i="13"/>
  <c r="U154" i="13"/>
  <c r="P154" i="13"/>
  <c r="P146" i="13"/>
  <c r="H84" i="4"/>
  <c r="H76" i="4"/>
  <c r="H68" i="4"/>
  <c r="H60" i="4"/>
  <c r="U197" i="13"/>
  <c r="P197" i="13"/>
  <c r="U186" i="13"/>
  <c r="P186" i="13"/>
  <c r="U176" i="13"/>
  <c r="P176" i="13"/>
  <c r="U170" i="13"/>
  <c r="P170" i="13"/>
  <c r="U161" i="13"/>
  <c r="P161" i="13"/>
  <c r="U156" i="13"/>
  <c r="P156" i="13"/>
  <c r="U148" i="13"/>
  <c r="P148" i="13"/>
  <c r="U143" i="13"/>
  <c r="P143" i="13"/>
  <c r="P153" i="13"/>
  <c r="P142" i="13"/>
  <c r="P59" i="13"/>
  <c r="U141" i="13"/>
  <c r="H15" i="4"/>
  <c r="H11" i="4"/>
  <c r="H32" i="4"/>
  <c r="E38" i="4"/>
  <c r="H38" i="4" s="1"/>
  <c r="E39" i="4"/>
  <c r="H39" i="4" s="1"/>
  <c r="H30" i="4"/>
  <c r="H26" i="4"/>
  <c r="H22" i="4"/>
  <c r="H36" i="4"/>
  <c r="H49" i="4"/>
  <c r="H83" i="4"/>
  <c r="H79" i="4"/>
  <c r="H75" i="4"/>
  <c r="H71" i="4"/>
  <c r="H67" i="4"/>
  <c r="H63" i="4"/>
  <c r="H59" i="4"/>
  <c r="K48" i="4"/>
  <c r="P74" i="14"/>
  <c r="P32" i="14"/>
  <c r="U181" i="13"/>
  <c r="P181" i="13"/>
  <c r="U180" i="13"/>
  <c r="P180" i="13"/>
  <c r="U165" i="13"/>
  <c r="P165" i="13"/>
  <c r="U164" i="13"/>
  <c r="P164" i="13"/>
  <c r="U150" i="13"/>
  <c r="P150" i="13"/>
  <c r="U145" i="13"/>
  <c r="P145" i="13"/>
  <c r="U140" i="13"/>
  <c r="P140" i="13"/>
  <c r="U132" i="13"/>
  <c r="P132" i="13"/>
  <c r="P131" i="13"/>
  <c r="U131" i="13"/>
  <c r="U127" i="13"/>
  <c r="P127" i="13"/>
  <c r="P125" i="13"/>
  <c r="U125" i="13"/>
  <c r="U120" i="13"/>
  <c r="P120" i="13"/>
  <c r="U118" i="13"/>
  <c r="P118" i="13"/>
  <c r="P117" i="13"/>
  <c r="U117" i="13"/>
  <c r="U112" i="13"/>
  <c r="P112" i="13"/>
  <c r="U106" i="13"/>
  <c r="P106" i="13"/>
  <c r="U104" i="13"/>
  <c r="P104" i="13"/>
  <c r="P103" i="13"/>
  <c r="U103" i="13"/>
  <c r="P99" i="13"/>
  <c r="U99" i="13"/>
  <c r="P97" i="13"/>
  <c r="U97" i="13"/>
  <c r="U91" i="13"/>
  <c r="P91" i="13"/>
  <c r="P89" i="13"/>
  <c r="U89" i="13"/>
  <c r="P82" i="13"/>
  <c r="U82" i="13"/>
  <c r="P81" i="13"/>
  <c r="U81" i="13"/>
  <c r="P69" i="13"/>
  <c r="U69" i="13"/>
  <c r="P65" i="13"/>
  <c r="U65" i="13"/>
  <c r="U48" i="13"/>
  <c r="P48" i="13"/>
  <c r="P205" i="13"/>
  <c r="P194" i="13"/>
  <c r="P173" i="13"/>
  <c r="P151" i="13"/>
  <c r="P128" i="13"/>
  <c r="P114" i="13"/>
  <c r="P100" i="13"/>
  <c r="P43" i="13"/>
  <c r="U179" i="13"/>
  <c r="U158" i="13"/>
  <c r="U137" i="13"/>
  <c r="U115" i="13"/>
  <c r="U73" i="13"/>
  <c r="H34" i="4"/>
  <c r="H81" i="4"/>
  <c r="H69" i="4"/>
  <c r="U191" i="13"/>
  <c r="P191" i="13"/>
  <c r="U182" i="13"/>
  <c r="P182" i="13"/>
  <c r="U175" i="13"/>
  <c r="P175" i="13"/>
  <c r="U166" i="13"/>
  <c r="P166" i="13"/>
  <c r="P121" i="13"/>
  <c r="U121" i="13"/>
  <c r="P113" i="13"/>
  <c r="U113" i="13"/>
  <c r="U202" i="13"/>
  <c r="P202" i="13"/>
  <c r="U192" i="13"/>
  <c r="P192" i="13"/>
  <c r="U177" i="13"/>
  <c r="P177" i="13"/>
  <c r="U160" i="13"/>
  <c r="P160" i="13"/>
  <c r="U155" i="13"/>
  <c r="P155" i="13"/>
  <c r="U138" i="13"/>
  <c r="P138" i="13"/>
  <c r="U136" i="13"/>
  <c r="P136" i="13"/>
  <c r="P133" i="13"/>
  <c r="U133" i="13"/>
  <c r="U102" i="13"/>
  <c r="U90" i="13"/>
  <c r="P90" i="13"/>
  <c r="U84" i="13"/>
  <c r="P84" i="13"/>
  <c r="U76" i="13"/>
  <c r="P76" i="13"/>
  <c r="P195" i="13"/>
  <c r="P163" i="13"/>
  <c r="P130" i="13"/>
  <c r="H14" i="4"/>
  <c r="H10" i="4"/>
  <c r="H29" i="4"/>
  <c r="H25" i="4"/>
  <c r="H21" i="4"/>
  <c r="H53" i="4"/>
  <c r="P106" i="14"/>
  <c r="P65" i="14"/>
  <c r="P16" i="14"/>
  <c r="U204" i="13"/>
  <c r="P204" i="13"/>
  <c r="U203" i="13"/>
  <c r="P203" i="13"/>
  <c r="U200" i="13"/>
  <c r="P200" i="13"/>
  <c r="U198" i="13"/>
  <c r="P198" i="13"/>
  <c r="U187" i="13"/>
  <c r="P187" i="13"/>
  <c r="U184" i="13"/>
  <c r="P184" i="13"/>
  <c r="U171" i="13"/>
  <c r="P171" i="13"/>
  <c r="U168" i="13"/>
  <c r="P168" i="13"/>
  <c r="U152" i="13"/>
  <c r="P152" i="13"/>
  <c r="U149" i="13"/>
  <c r="P149" i="13"/>
  <c r="U139" i="13"/>
  <c r="P139" i="13"/>
  <c r="P129" i="13"/>
  <c r="U129" i="13"/>
  <c r="U124" i="13"/>
  <c r="P124" i="13"/>
  <c r="U111" i="13"/>
  <c r="P111" i="13"/>
  <c r="P110" i="13"/>
  <c r="U110" i="13"/>
  <c r="P62" i="13"/>
  <c r="P57" i="13"/>
  <c r="U57" i="13"/>
  <c r="U56" i="13"/>
  <c r="P56" i="13"/>
  <c r="U54" i="13"/>
  <c r="P54" i="13"/>
  <c r="U47" i="13"/>
  <c r="P47" i="13"/>
  <c r="P123" i="13"/>
  <c r="P108" i="13"/>
  <c r="P95" i="13"/>
  <c r="U109" i="13"/>
  <c r="U72" i="13"/>
  <c r="P72" i="13"/>
  <c r="P53" i="13"/>
  <c r="U53" i="13"/>
  <c r="P49" i="13"/>
  <c r="U49" i="13"/>
  <c r="P70" i="13"/>
  <c r="P63" i="13"/>
  <c r="U61" i="13"/>
  <c r="P85" i="13"/>
  <c r="U85" i="13"/>
  <c r="P68" i="13"/>
  <c r="P60" i="13"/>
  <c r="U78" i="13"/>
  <c r="U67" i="13"/>
  <c r="U46" i="13"/>
  <c r="U72" i="14"/>
  <c r="P61" i="14"/>
  <c r="U104" i="14"/>
  <c r="U56" i="14"/>
  <c r="U24" i="14"/>
  <c r="P90" i="14"/>
  <c r="P81" i="14"/>
  <c r="P58" i="14"/>
  <c r="U52" i="14"/>
  <c r="U16" i="14"/>
  <c r="P77" i="14"/>
  <c r="P36" i="14"/>
  <c r="P20" i="14"/>
  <c r="U74" i="14"/>
  <c r="U40" i="14"/>
  <c r="U8" i="14"/>
  <c r="U7" i="14"/>
  <c r="P103" i="14"/>
  <c r="U103" i="14"/>
  <c r="P95" i="14"/>
  <c r="U91" i="14"/>
  <c r="P91" i="14"/>
  <c r="P87" i="14"/>
  <c r="U87" i="14"/>
  <c r="P63" i="14"/>
  <c r="U59" i="14"/>
  <c r="P59" i="14"/>
  <c r="P55" i="14"/>
  <c r="U55" i="14"/>
  <c r="P47" i="14"/>
  <c r="P39" i="14"/>
  <c r="P31" i="14"/>
  <c r="P23" i="14"/>
  <c r="P15" i="14"/>
  <c r="P11" i="14"/>
  <c r="U11" i="14"/>
  <c r="U95" i="14"/>
  <c r="U63" i="14"/>
  <c r="U98" i="14"/>
  <c r="U86" i="14"/>
  <c r="U82" i="14"/>
  <c r="U50" i="14"/>
  <c r="U38" i="14"/>
  <c r="P38" i="14"/>
  <c r="U30" i="14"/>
  <c r="U18" i="14"/>
  <c r="P18" i="14"/>
  <c r="U10" i="14"/>
  <c r="U94" i="14"/>
  <c r="U83" i="14"/>
  <c r="U62" i="14"/>
  <c r="U51" i="14"/>
  <c r="U39" i="14"/>
  <c r="U23" i="14"/>
  <c r="P94" i="14"/>
  <c r="P86" i="14"/>
  <c r="P78" i="14"/>
  <c r="U90" i="14"/>
  <c r="U58" i="14"/>
  <c r="U47" i="14"/>
  <c r="P79" i="14"/>
  <c r="U75" i="14"/>
  <c r="P75" i="14"/>
  <c r="P71" i="14"/>
  <c r="U71" i="14"/>
  <c r="U43" i="14"/>
  <c r="P43" i="14"/>
  <c r="P35" i="14"/>
  <c r="U35" i="14"/>
  <c r="P27" i="14"/>
  <c r="U27" i="14"/>
  <c r="P19" i="14"/>
  <c r="U19" i="14"/>
  <c r="U102" i="14"/>
  <c r="U70" i="14"/>
  <c r="U66" i="14"/>
  <c r="U54" i="14"/>
  <c r="U42" i="14"/>
  <c r="U34" i="14"/>
  <c r="P34" i="14"/>
  <c r="U26" i="14"/>
  <c r="U22" i="14"/>
  <c r="P22" i="14"/>
  <c r="U14" i="14"/>
  <c r="P30" i="14"/>
  <c r="P104" i="14"/>
  <c r="P100" i="14"/>
  <c r="U96" i="14"/>
  <c r="P96" i="14"/>
  <c r="U92" i="14"/>
  <c r="P92" i="14"/>
  <c r="P88" i="14"/>
  <c r="P84" i="14"/>
  <c r="U80" i="14"/>
  <c r="P80" i="14"/>
  <c r="U76" i="14"/>
  <c r="P76" i="14"/>
  <c r="P72" i="14"/>
  <c r="P68" i="14"/>
  <c r="U64" i="14"/>
  <c r="P64" i="14"/>
  <c r="U60" i="14"/>
  <c r="P60" i="14"/>
  <c r="P14" i="14"/>
  <c r="P7" i="14"/>
  <c r="U99" i="14"/>
  <c r="U88" i="14"/>
  <c r="U78" i="14"/>
  <c r="U67" i="14"/>
  <c r="U46" i="14"/>
  <c r="U31" i="14"/>
  <c r="U15" i="14"/>
  <c r="U105" i="14"/>
  <c r="U101" i="14"/>
  <c r="U97" i="14"/>
  <c r="U93" i="14"/>
  <c r="U89" i="14"/>
  <c r="U85" i="14"/>
  <c r="U81" i="14"/>
  <c r="U77" i="14"/>
  <c r="U73" i="14"/>
  <c r="U69" i="14"/>
  <c r="U65" i="14"/>
  <c r="U61" i="14"/>
  <c r="U57" i="14"/>
  <c r="U53" i="14"/>
  <c r="U49" i="14"/>
  <c r="U45" i="14"/>
  <c r="U41" i="14"/>
  <c r="U37" i="14"/>
  <c r="U33" i="14"/>
  <c r="U29" i="14"/>
  <c r="U25" i="14"/>
  <c r="U21" i="14"/>
  <c r="U17" i="14"/>
  <c r="U13" i="14"/>
  <c r="U9" i="14"/>
  <c r="P56" i="14"/>
  <c r="P52" i="14"/>
  <c r="P48" i="14"/>
  <c r="P44" i="14"/>
  <c r="P40" i="14"/>
  <c r="P29" i="14"/>
  <c r="P24" i="14"/>
  <c r="P13" i="14"/>
  <c r="P8" i="14"/>
  <c r="U44" i="14"/>
  <c r="U36" i="14"/>
  <c r="U28" i="14"/>
  <c r="U20" i="14"/>
  <c r="U12" i="14"/>
  <c r="P33" i="14"/>
  <c r="P28" i="14"/>
  <c r="P17" i="14"/>
  <c r="P12" i="14"/>
  <c r="U48" i="14"/>
  <c r="J123" i="14"/>
  <c r="G51" i="4"/>
  <c r="J39" i="4"/>
  <c r="E19" i="4"/>
  <c r="H19" i="4" s="1"/>
  <c r="G38" i="4"/>
  <c r="G40" i="4"/>
  <c r="G20" i="4"/>
  <c r="J18" i="4"/>
  <c r="J45" i="4"/>
  <c r="J20" i="4"/>
  <c r="K20" i="4" s="1"/>
  <c r="K39" i="4" l="1"/>
  <c r="K40" i="4"/>
  <c r="K19" i="4"/>
  <c r="K38" i="4"/>
  <c r="P108" i="14"/>
  <c r="U108" i="14"/>
  <c r="D117" i="14" l="1"/>
  <c r="D135" i="14" s="1"/>
  <c r="E4" i="23"/>
  <c r="B25" i="17" l="1"/>
  <c r="D25" i="17" l="1"/>
  <c r="C31" i="22" l="1"/>
  <c r="I42" i="7" l="1"/>
  <c r="G42" i="7"/>
  <c r="I50" i="7"/>
  <c r="G50" i="7"/>
  <c r="L50" i="7" s="1"/>
  <c r="I49" i="7"/>
  <c r="G49" i="7"/>
  <c r="I48" i="7"/>
  <c r="G48" i="7"/>
  <c r="L48" i="7" s="1"/>
  <c r="I47" i="7"/>
  <c r="G47" i="7"/>
  <c r="I41" i="7"/>
  <c r="G41" i="7"/>
  <c r="L41" i="7" s="1"/>
  <c r="I40" i="7"/>
  <c r="G40" i="7"/>
  <c r="I39" i="7"/>
  <c r="G39" i="7"/>
  <c r="L39" i="7" s="1"/>
  <c r="I38" i="7"/>
  <c r="G38" i="7"/>
  <c r="I37" i="7"/>
  <c r="G37" i="7"/>
  <c r="L37" i="7" s="1"/>
  <c r="L38" i="7" l="1"/>
  <c r="L40" i="7"/>
  <c r="L47" i="7"/>
  <c r="L49" i="7"/>
  <c r="L42" i="7"/>
  <c r="K47" i="7"/>
  <c r="K48" i="7"/>
  <c r="K49" i="7"/>
  <c r="K50" i="7"/>
  <c r="K42" i="7"/>
  <c r="K37" i="7"/>
  <c r="K38" i="7"/>
  <c r="K39" i="7"/>
  <c r="K40" i="7"/>
  <c r="K41" i="7"/>
  <c r="F85" i="4"/>
  <c r="I7" i="10" l="1"/>
  <c r="J7" i="10" s="1"/>
  <c r="F7" i="10"/>
  <c r="I6" i="10"/>
  <c r="J6" i="10" s="1"/>
  <c r="F6" i="10"/>
  <c r="I21" i="10"/>
  <c r="J21" i="10" s="1"/>
  <c r="F21" i="10"/>
  <c r="I20" i="10"/>
  <c r="J20" i="10" s="1"/>
  <c r="F20" i="10"/>
  <c r="I19" i="10"/>
  <c r="J19" i="10" s="1"/>
  <c r="F19" i="10"/>
  <c r="I18" i="10"/>
  <c r="J18" i="10" s="1"/>
  <c r="F18" i="10"/>
  <c r="I17" i="10"/>
  <c r="J17" i="10" s="1"/>
  <c r="F17" i="10"/>
  <c r="I16" i="10"/>
  <c r="J16" i="10" s="1"/>
  <c r="F16" i="10"/>
  <c r="I15" i="10"/>
  <c r="J15" i="10" s="1"/>
  <c r="F15" i="10"/>
  <c r="I14" i="10"/>
  <c r="J14" i="10" s="1"/>
  <c r="F14" i="10"/>
  <c r="I13" i="10"/>
  <c r="J13" i="10" s="1"/>
  <c r="F13" i="10"/>
  <c r="I12" i="10"/>
  <c r="J12" i="10" s="1"/>
  <c r="F12" i="10"/>
  <c r="I11" i="10"/>
  <c r="J11" i="10" s="1"/>
  <c r="F11" i="10"/>
  <c r="I10" i="10"/>
  <c r="J10" i="10" s="1"/>
  <c r="F10" i="10"/>
  <c r="I9" i="10"/>
  <c r="J9" i="10" s="1"/>
  <c r="F9" i="10"/>
  <c r="I8" i="10"/>
  <c r="J8" i="10" s="1"/>
  <c r="F8" i="10"/>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144" i="13"/>
  <c r="H143" i="13"/>
  <c r="H142" i="13"/>
  <c r="H141" i="13"/>
  <c r="H140" i="13"/>
  <c r="H139" i="13"/>
  <c r="H138" i="13"/>
  <c r="H137" i="13"/>
  <c r="H136" i="13"/>
  <c r="H135" i="13"/>
  <c r="H134" i="13"/>
  <c r="H133" i="13"/>
  <c r="H132" i="13"/>
  <c r="H131" i="13"/>
  <c r="H130" i="13"/>
  <c r="H129" i="13"/>
  <c r="H128" i="13"/>
  <c r="H127" i="13"/>
  <c r="H126" i="13"/>
  <c r="H125" i="13"/>
  <c r="H124" i="13"/>
  <c r="H123" i="13"/>
  <c r="H122" i="13"/>
  <c r="H121" i="13"/>
  <c r="H120" i="13"/>
  <c r="H119" i="13"/>
  <c r="H118" i="13"/>
  <c r="H117" i="13"/>
  <c r="H116" i="13"/>
  <c r="H115" i="13"/>
  <c r="H114" i="13"/>
  <c r="H113" i="13"/>
  <c r="H112" i="13"/>
  <c r="H111" i="13"/>
  <c r="H110" i="13"/>
  <c r="H109" i="13"/>
  <c r="H108" i="13"/>
  <c r="H107" i="13"/>
  <c r="H106" i="13"/>
  <c r="H105" i="13"/>
  <c r="H104" i="13"/>
  <c r="H103" i="13"/>
  <c r="H102" i="13"/>
  <c r="H101" i="13"/>
  <c r="H100" i="13"/>
  <c r="H99" i="13"/>
  <c r="H98" i="13"/>
  <c r="H97" i="13"/>
  <c r="H96" i="13"/>
  <c r="H95" i="13"/>
  <c r="H94" i="13"/>
  <c r="H93" i="13"/>
  <c r="H92" i="13"/>
  <c r="H91" i="13"/>
  <c r="H90" i="13"/>
  <c r="H89" i="13"/>
  <c r="H88" i="13"/>
  <c r="H87" i="13"/>
  <c r="H86" i="13"/>
  <c r="H85" i="13"/>
  <c r="H84" i="13"/>
  <c r="W106" i="13" l="1"/>
  <c r="X106" i="13" s="1"/>
  <c r="R106" i="13"/>
  <c r="S106" i="13" s="1"/>
  <c r="W130" i="13"/>
  <c r="X130" i="13" s="1"/>
  <c r="R130" i="13"/>
  <c r="S130" i="13" s="1"/>
  <c r="W43" i="13"/>
  <c r="X43" i="13" s="1"/>
  <c r="R43" i="13"/>
  <c r="S43" i="13" s="1"/>
  <c r="R91" i="13"/>
  <c r="S91" i="13" s="1"/>
  <c r="W91" i="13"/>
  <c r="X91" i="13" s="1"/>
  <c r="W99" i="13"/>
  <c r="X99" i="13" s="1"/>
  <c r="R99" i="13"/>
  <c r="S99" i="13" s="1"/>
  <c r="W107" i="13"/>
  <c r="X107" i="13" s="1"/>
  <c r="R107" i="13"/>
  <c r="S107" i="13" s="1"/>
  <c r="R115" i="13"/>
  <c r="S115" i="13" s="1"/>
  <c r="W115" i="13"/>
  <c r="X115" i="13" s="1"/>
  <c r="R123" i="13"/>
  <c r="S123" i="13" s="1"/>
  <c r="W123" i="13"/>
  <c r="X123" i="13" s="1"/>
  <c r="W131" i="13"/>
  <c r="X131" i="13" s="1"/>
  <c r="R131" i="13"/>
  <c r="S131" i="13" s="1"/>
  <c r="R139" i="13"/>
  <c r="S139" i="13" s="1"/>
  <c r="W139" i="13"/>
  <c r="X139" i="13" s="1"/>
  <c r="R12" i="13"/>
  <c r="W12" i="13"/>
  <c r="R20" i="13"/>
  <c r="W20" i="13"/>
  <c r="W28" i="13"/>
  <c r="R28" i="13"/>
  <c r="R36" i="13"/>
  <c r="W36" i="13"/>
  <c r="W44" i="13"/>
  <c r="X44" i="13" s="1"/>
  <c r="R44" i="13"/>
  <c r="S44" i="13" s="1"/>
  <c r="W122" i="13"/>
  <c r="X122" i="13" s="1"/>
  <c r="R122" i="13"/>
  <c r="S122" i="13" s="1"/>
  <c r="W35" i="13"/>
  <c r="R35" i="13"/>
  <c r="W84" i="13"/>
  <c r="X84" i="13" s="1"/>
  <c r="R84" i="13"/>
  <c r="S84" i="13" s="1"/>
  <c r="W92" i="13"/>
  <c r="X92" i="13" s="1"/>
  <c r="R92" i="13"/>
  <c r="S92" i="13" s="1"/>
  <c r="R100" i="13"/>
  <c r="S100" i="13" s="1"/>
  <c r="W100" i="13"/>
  <c r="X100" i="13" s="1"/>
  <c r="R108" i="13"/>
  <c r="S108" i="13" s="1"/>
  <c r="W108" i="13"/>
  <c r="X108" i="13" s="1"/>
  <c r="W116" i="13"/>
  <c r="X116" i="13" s="1"/>
  <c r="R116" i="13"/>
  <c r="S116" i="13" s="1"/>
  <c r="W124" i="13"/>
  <c r="X124" i="13" s="1"/>
  <c r="R124" i="13"/>
  <c r="S124" i="13" s="1"/>
  <c r="R132" i="13"/>
  <c r="S132" i="13" s="1"/>
  <c r="W132" i="13"/>
  <c r="X132" i="13" s="1"/>
  <c r="W140" i="13"/>
  <c r="X140" i="13" s="1"/>
  <c r="R140" i="13"/>
  <c r="S140" i="13" s="1"/>
  <c r="W13" i="13"/>
  <c r="R13" i="13"/>
  <c r="W21" i="13"/>
  <c r="R21" i="13"/>
  <c r="R29" i="13"/>
  <c r="W29" i="13"/>
  <c r="W37" i="13"/>
  <c r="R37" i="13"/>
  <c r="R45" i="13"/>
  <c r="S45" i="13" s="1"/>
  <c r="W45" i="13"/>
  <c r="X45" i="13" s="1"/>
  <c r="W138" i="13"/>
  <c r="X138" i="13" s="1"/>
  <c r="R138" i="13"/>
  <c r="S138" i="13" s="1"/>
  <c r="R101" i="13"/>
  <c r="S101" i="13" s="1"/>
  <c r="W101" i="13"/>
  <c r="X101" i="13" s="1"/>
  <c r="W125" i="13"/>
  <c r="X125" i="13" s="1"/>
  <c r="R125" i="13"/>
  <c r="S125" i="13" s="1"/>
  <c r="W22" i="13"/>
  <c r="R22" i="13"/>
  <c r="W38" i="13"/>
  <c r="R38" i="13"/>
  <c r="W86" i="13"/>
  <c r="X86" i="13" s="1"/>
  <c r="R86" i="13"/>
  <c r="S86" i="13" s="1"/>
  <c r="W94" i="13"/>
  <c r="X94" i="13" s="1"/>
  <c r="R94" i="13"/>
  <c r="S94" i="13" s="1"/>
  <c r="W102" i="13"/>
  <c r="X102" i="13" s="1"/>
  <c r="R102" i="13"/>
  <c r="S102" i="13" s="1"/>
  <c r="W110" i="13"/>
  <c r="X110" i="13" s="1"/>
  <c r="R110" i="13"/>
  <c r="S110" i="13" s="1"/>
  <c r="W118" i="13"/>
  <c r="X118" i="13" s="1"/>
  <c r="R118" i="13"/>
  <c r="S118" i="13" s="1"/>
  <c r="W126" i="13"/>
  <c r="X126" i="13" s="1"/>
  <c r="R126" i="13"/>
  <c r="S126" i="13" s="1"/>
  <c r="R134" i="13"/>
  <c r="S134" i="13" s="1"/>
  <c r="W134" i="13"/>
  <c r="X134" i="13" s="1"/>
  <c r="W142" i="13"/>
  <c r="X142" i="13" s="1"/>
  <c r="R142" i="13"/>
  <c r="S142" i="13" s="1"/>
  <c r="W15" i="13"/>
  <c r="R15" i="13"/>
  <c r="R23" i="13"/>
  <c r="W23" i="13"/>
  <c r="R31" i="13"/>
  <c r="W31" i="13"/>
  <c r="R39" i="13"/>
  <c r="W39" i="13"/>
  <c r="R47" i="13"/>
  <c r="S47" i="13" s="1"/>
  <c r="W47" i="13"/>
  <c r="X47" i="13" s="1"/>
  <c r="W90" i="13"/>
  <c r="X90" i="13" s="1"/>
  <c r="R90" i="13"/>
  <c r="S90" i="13" s="1"/>
  <c r="R11" i="13"/>
  <c r="W11" i="13"/>
  <c r="R93" i="13"/>
  <c r="S93" i="13" s="1"/>
  <c r="W93" i="13"/>
  <c r="X93" i="13" s="1"/>
  <c r="W117" i="13"/>
  <c r="X117" i="13" s="1"/>
  <c r="R117" i="13"/>
  <c r="S117" i="13" s="1"/>
  <c r="W14" i="13"/>
  <c r="R14" i="13"/>
  <c r="W46" i="13"/>
  <c r="X46" i="13" s="1"/>
  <c r="R46" i="13"/>
  <c r="S46" i="13" s="1"/>
  <c r="R87" i="13"/>
  <c r="S87" i="13" s="1"/>
  <c r="W87" i="13"/>
  <c r="X87" i="13" s="1"/>
  <c r="W95" i="13"/>
  <c r="X95" i="13" s="1"/>
  <c r="R95" i="13"/>
  <c r="S95" i="13" s="1"/>
  <c r="R103" i="13"/>
  <c r="S103" i="13" s="1"/>
  <c r="W103" i="13"/>
  <c r="X103" i="13" s="1"/>
  <c r="R111" i="13"/>
  <c r="S111" i="13" s="1"/>
  <c r="W111" i="13"/>
  <c r="X111" i="13" s="1"/>
  <c r="R119" i="13"/>
  <c r="S119" i="13" s="1"/>
  <c r="W119" i="13"/>
  <c r="X119" i="13" s="1"/>
  <c r="R127" i="13"/>
  <c r="S127" i="13" s="1"/>
  <c r="W127" i="13"/>
  <c r="X127" i="13" s="1"/>
  <c r="W135" i="13"/>
  <c r="X135" i="13" s="1"/>
  <c r="R135" i="13"/>
  <c r="S135" i="13" s="1"/>
  <c r="W143" i="13"/>
  <c r="X143" i="13" s="1"/>
  <c r="R143" i="13"/>
  <c r="S143" i="13" s="1"/>
  <c r="R16" i="13"/>
  <c r="W16" i="13"/>
  <c r="W24" i="13"/>
  <c r="R24" i="13"/>
  <c r="W32" i="13"/>
  <c r="R32" i="13"/>
  <c r="R40" i="13"/>
  <c r="W40" i="13"/>
  <c r="W48" i="13"/>
  <c r="X48" i="13" s="1"/>
  <c r="R48" i="13"/>
  <c r="S48" i="13" s="1"/>
  <c r="W98" i="13"/>
  <c r="X98" i="13" s="1"/>
  <c r="R98" i="13"/>
  <c r="S98" i="13" s="1"/>
  <c r="R27" i="13"/>
  <c r="W27" i="13"/>
  <c r="R133" i="13"/>
  <c r="S133" i="13" s="1"/>
  <c r="W133" i="13"/>
  <c r="X133" i="13" s="1"/>
  <c r="R88" i="13"/>
  <c r="S88" i="13" s="1"/>
  <c r="W88" i="13"/>
  <c r="X88" i="13" s="1"/>
  <c r="W104" i="13"/>
  <c r="X104" i="13" s="1"/>
  <c r="R104" i="13"/>
  <c r="S104" i="13" s="1"/>
  <c r="R112" i="13"/>
  <c r="S112" i="13" s="1"/>
  <c r="W112" i="13"/>
  <c r="X112" i="13" s="1"/>
  <c r="W120" i="13"/>
  <c r="X120" i="13" s="1"/>
  <c r="R120" i="13"/>
  <c r="S120" i="13" s="1"/>
  <c r="W128" i="13"/>
  <c r="X128" i="13" s="1"/>
  <c r="R128" i="13"/>
  <c r="S128" i="13" s="1"/>
  <c r="R136" i="13"/>
  <c r="S136" i="13" s="1"/>
  <c r="W136" i="13"/>
  <c r="X136" i="13" s="1"/>
  <c r="R144" i="13"/>
  <c r="S144" i="13" s="1"/>
  <c r="W144" i="13"/>
  <c r="X144" i="13" s="1"/>
  <c r="R17" i="13"/>
  <c r="W17" i="13"/>
  <c r="W25" i="13"/>
  <c r="R25" i="13"/>
  <c r="R33" i="13"/>
  <c r="W33" i="13"/>
  <c r="R41" i="13"/>
  <c r="W41" i="13"/>
  <c r="R49" i="13"/>
  <c r="S49" i="13" s="1"/>
  <c r="W49" i="13"/>
  <c r="X49" i="13" s="1"/>
  <c r="W114" i="13"/>
  <c r="X114" i="13" s="1"/>
  <c r="R114" i="13"/>
  <c r="S114" i="13" s="1"/>
  <c r="W19" i="13"/>
  <c r="R19" i="13"/>
  <c r="W85" i="13"/>
  <c r="X85" i="13" s="1"/>
  <c r="R85" i="13"/>
  <c r="S85" i="13" s="1"/>
  <c r="R109" i="13"/>
  <c r="S109" i="13" s="1"/>
  <c r="W109" i="13"/>
  <c r="X109" i="13" s="1"/>
  <c r="W141" i="13"/>
  <c r="X141" i="13" s="1"/>
  <c r="R141" i="13"/>
  <c r="S141" i="13" s="1"/>
  <c r="R30" i="13"/>
  <c r="W30" i="13"/>
  <c r="W96" i="13"/>
  <c r="X96" i="13" s="1"/>
  <c r="R96" i="13"/>
  <c r="S96" i="13" s="1"/>
  <c r="R89" i="13"/>
  <c r="S89" i="13" s="1"/>
  <c r="W89" i="13"/>
  <c r="X89" i="13" s="1"/>
  <c r="R97" i="13"/>
  <c r="S97" i="13" s="1"/>
  <c r="W97" i="13"/>
  <c r="X97" i="13" s="1"/>
  <c r="R105" i="13"/>
  <c r="S105" i="13" s="1"/>
  <c r="W105" i="13"/>
  <c r="X105" i="13" s="1"/>
  <c r="R113" i="13"/>
  <c r="S113" i="13" s="1"/>
  <c r="W113" i="13"/>
  <c r="X113" i="13" s="1"/>
  <c r="W121" i="13"/>
  <c r="X121" i="13" s="1"/>
  <c r="R121" i="13"/>
  <c r="S121" i="13" s="1"/>
  <c r="W129" i="13"/>
  <c r="X129" i="13" s="1"/>
  <c r="R129" i="13"/>
  <c r="S129" i="13" s="1"/>
  <c r="W137" i="13"/>
  <c r="X137" i="13" s="1"/>
  <c r="R137" i="13"/>
  <c r="S137" i="13" s="1"/>
  <c r="R10" i="13"/>
  <c r="W10" i="13"/>
  <c r="R18" i="13"/>
  <c r="W18" i="13"/>
  <c r="R26" i="13"/>
  <c r="W26" i="13"/>
  <c r="W34" i="13"/>
  <c r="R34" i="13"/>
  <c r="R42" i="13"/>
  <c r="W42" i="13"/>
  <c r="W50" i="13"/>
  <c r="X50" i="13" s="1"/>
  <c r="R50" i="13"/>
  <c r="S50" i="13" s="1"/>
  <c r="F125" i="14"/>
  <c r="J125" i="14" l="1"/>
  <c r="D127" i="14" s="1"/>
  <c r="E6" i="23"/>
  <c r="E5" i="23"/>
  <c r="J79" i="22"/>
  <c r="I79" i="22"/>
  <c r="J77" i="22"/>
  <c r="I77" i="22"/>
  <c r="J76" i="22"/>
  <c r="I76" i="22"/>
  <c r="J75" i="22"/>
  <c r="I75" i="22"/>
  <c r="J74" i="22"/>
  <c r="I74" i="22"/>
  <c r="J73" i="22"/>
  <c r="I73" i="22"/>
  <c r="J71" i="22"/>
  <c r="I71" i="22"/>
  <c r="J70" i="22"/>
  <c r="I70" i="22"/>
  <c r="J69" i="22"/>
  <c r="I69" i="22"/>
  <c r="J68" i="22"/>
  <c r="I68" i="22"/>
  <c r="J67" i="22"/>
  <c r="I67" i="22"/>
  <c r="J66" i="22"/>
  <c r="I66" i="22"/>
  <c r="J65" i="22"/>
  <c r="I65" i="22"/>
  <c r="J64" i="22"/>
  <c r="I64" i="22"/>
  <c r="J63" i="22"/>
  <c r="I63" i="22"/>
  <c r="J62" i="22"/>
  <c r="I62" i="22"/>
  <c r="J61" i="22"/>
  <c r="I61" i="22"/>
  <c r="J60" i="22"/>
  <c r="I60" i="22"/>
  <c r="J59" i="22"/>
  <c r="I59" i="22"/>
  <c r="J58" i="22"/>
  <c r="I58" i="22"/>
  <c r="J57" i="22"/>
  <c r="I57" i="22"/>
  <c r="J56" i="22"/>
  <c r="I56" i="22"/>
  <c r="J55" i="22"/>
  <c r="I55" i="22"/>
  <c r="J54" i="22"/>
  <c r="I54" i="22"/>
  <c r="J53" i="22"/>
  <c r="I53" i="22"/>
  <c r="J52" i="22"/>
  <c r="I52" i="22"/>
  <c r="J51" i="22"/>
  <c r="I51" i="22"/>
  <c r="J50" i="22"/>
  <c r="I50" i="22"/>
  <c r="J49" i="22"/>
  <c r="I49" i="22"/>
  <c r="J48" i="22"/>
  <c r="I48" i="22"/>
  <c r="J47" i="22"/>
  <c r="I47" i="22"/>
  <c r="J46" i="22"/>
  <c r="I46" i="22"/>
  <c r="J44" i="22"/>
  <c r="I44" i="22"/>
  <c r="J43" i="22"/>
  <c r="I43" i="22"/>
  <c r="J42" i="22"/>
  <c r="I42" i="22"/>
  <c r="J41" i="22"/>
  <c r="I41" i="22"/>
  <c r="D31" i="22"/>
  <c r="E31" i="22" s="1"/>
  <c r="D30" i="22"/>
  <c r="F30" i="22" s="1"/>
  <c r="C30" i="22"/>
  <c r="D29" i="22"/>
  <c r="F29" i="22" s="1"/>
  <c r="C29" i="22"/>
  <c r="D28" i="22"/>
  <c r="F28" i="22" s="1"/>
  <c r="C28" i="22"/>
  <c r="D27" i="22"/>
  <c r="F27" i="22" s="1"/>
  <c r="C27" i="22"/>
  <c r="G26" i="22"/>
  <c r="D26" i="22"/>
  <c r="E26" i="22" s="1"/>
  <c r="G25" i="22"/>
  <c r="D25" i="22"/>
  <c r="E25" i="22" s="1"/>
  <c r="G24" i="22"/>
  <c r="D24" i="22"/>
  <c r="E24" i="22" s="1"/>
  <c r="G23" i="22"/>
  <c r="D23" i="22" s="1"/>
  <c r="E23" i="22" s="1"/>
  <c r="G22" i="22"/>
  <c r="D22" i="22" s="1"/>
  <c r="E22" i="22" s="1"/>
  <c r="G21" i="22"/>
  <c r="D21" i="22" s="1"/>
  <c r="E21" i="22" s="1"/>
  <c r="G20" i="22"/>
  <c r="D20" i="22" s="1"/>
  <c r="E20" i="22" s="1"/>
  <c r="G19" i="22"/>
  <c r="D19" i="22" s="1"/>
  <c r="E19" i="22" s="1"/>
  <c r="G18" i="22"/>
  <c r="D18" i="22" s="1"/>
  <c r="E18" i="22" s="1"/>
  <c r="G17" i="22"/>
  <c r="D17" i="22" s="1"/>
  <c r="E17" i="22" s="1"/>
  <c r="G16" i="22"/>
  <c r="D16" i="22"/>
  <c r="E16" i="22" s="1"/>
  <c r="G15" i="22"/>
  <c r="D15" i="22"/>
  <c r="E15" i="22" s="1"/>
  <c r="G14" i="22"/>
  <c r="D14" i="22"/>
  <c r="E14" i="22" s="1"/>
  <c r="G13" i="22"/>
  <c r="D13" i="22"/>
  <c r="E13" i="22" s="1"/>
  <c r="G12" i="22"/>
  <c r="D12" i="22" s="1"/>
  <c r="E12" i="22" s="1"/>
  <c r="G11" i="22"/>
  <c r="D11" i="22"/>
  <c r="E11" i="22" s="1"/>
  <c r="G10" i="22"/>
  <c r="D10" i="22"/>
  <c r="E10" i="22" s="1"/>
  <c r="G9" i="22"/>
  <c r="D9" i="22"/>
  <c r="E9" i="22" s="1"/>
  <c r="G8" i="22"/>
  <c r="D8" i="22"/>
  <c r="E8" i="22" s="1"/>
  <c r="G7" i="22"/>
  <c r="D7" i="22"/>
  <c r="E7" i="22" s="1"/>
  <c r="C136" i="14"/>
  <c r="E136" i="14" s="1"/>
  <c r="C137" i="14"/>
  <c r="E137" i="14" s="1"/>
  <c r="F142" i="14"/>
  <c r="E29" i="22" l="1"/>
  <c r="G28" i="22"/>
  <c r="E30" i="22"/>
  <c r="J80" i="22"/>
  <c r="C32" i="22"/>
  <c r="F31" i="22"/>
  <c r="G31" i="22" s="1"/>
  <c r="I80" i="22"/>
  <c r="E7" i="23"/>
  <c r="E27" i="22"/>
  <c r="G30" i="22"/>
  <c r="G29" i="22"/>
  <c r="E28" i="22"/>
  <c r="G27" i="22"/>
  <c r="E32" i="22" l="1"/>
  <c r="D32" i="22" s="1"/>
  <c r="E83" i="22" s="1"/>
  <c r="C19" i="23"/>
  <c r="C26" i="23"/>
  <c r="C25" i="23"/>
  <c r="C24" i="23"/>
  <c r="C18" i="23"/>
  <c r="G32" i="22"/>
  <c r="F32" i="22" s="1"/>
  <c r="E82" i="22" s="1"/>
  <c r="I5"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4" i="10"/>
  <c r="E84" i="22" l="1"/>
  <c r="C14" i="23"/>
  <c r="E85" i="22" l="1"/>
  <c r="T7" i="14" l="1"/>
  <c r="V7" i="14" s="1"/>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O78" i="14"/>
  <c r="O79" i="14"/>
  <c r="O80" i="14"/>
  <c r="O81" i="14"/>
  <c r="O82" i="14"/>
  <c r="O83" i="14"/>
  <c r="O84" i="14"/>
  <c r="O85" i="14"/>
  <c r="O86" i="14"/>
  <c r="O87" i="14"/>
  <c r="O88" i="14"/>
  <c r="O89" i="14"/>
  <c r="O90" i="14"/>
  <c r="O91" i="14"/>
  <c r="O92" i="14"/>
  <c r="O93" i="14"/>
  <c r="O94" i="14"/>
  <c r="O95" i="14"/>
  <c r="O96" i="14"/>
  <c r="O97" i="14"/>
  <c r="O98" i="14"/>
  <c r="O99" i="14"/>
  <c r="O100" i="14"/>
  <c r="O101" i="14"/>
  <c r="O102" i="14"/>
  <c r="O103" i="14"/>
  <c r="O104" i="14"/>
  <c r="O105" i="14"/>
  <c r="O106" i="14"/>
  <c r="O7" i="14"/>
  <c r="I108" i="14"/>
  <c r="I208" i="13"/>
  <c r="E98" i="4" l="1"/>
  <c r="E99" i="4"/>
  <c r="E100" i="4"/>
  <c r="E101" i="4"/>
  <c r="F101" i="4" s="1"/>
  <c r="G101" i="4" s="1"/>
  <c r="E102" i="4"/>
  <c r="E103" i="4"/>
  <c r="E104" i="4"/>
  <c r="E105" i="4"/>
  <c r="E106" i="4"/>
  <c r="E107" i="4"/>
  <c r="E108" i="4"/>
  <c r="E109" i="4"/>
  <c r="E110" i="4"/>
  <c r="E111" i="4"/>
  <c r="E112" i="4"/>
  <c r="E113" i="4"/>
  <c r="E114" i="4"/>
  <c r="E115" i="4"/>
  <c r="E116" i="4"/>
  <c r="E117" i="4"/>
  <c r="E118" i="4"/>
  <c r="E119" i="4"/>
  <c r="E120" i="4"/>
  <c r="E121" i="4"/>
  <c r="E122" i="4"/>
  <c r="E123" i="4"/>
  <c r="E124" i="4"/>
  <c r="F124" i="4" s="1"/>
  <c r="E125" i="4"/>
  <c r="E126" i="4"/>
  <c r="E127" i="4"/>
  <c r="E128" i="4"/>
  <c r="E129" i="4"/>
  <c r="E130" i="4"/>
  <c r="E131" i="4"/>
  <c r="E132" i="4"/>
  <c r="F132" i="4" s="1"/>
  <c r="E133" i="4"/>
  <c r="E134" i="4"/>
  <c r="E135" i="4"/>
  <c r="E136" i="4"/>
  <c r="E137" i="4"/>
  <c r="E138" i="4"/>
  <c r="E139" i="4"/>
  <c r="E140" i="4"/>
  <c r="E141" i="4"/>
  <c r="E142" i="4"/>
  <c r="E143" i="4"/>
  <c r="E144" i="4"/>
  <c r="E145" i="4"/>
  <c r="E146" i="4"/>
  <c r="E147" i="4"/>
  <c r="E148" i="4"/>
  <c r="E149" i="4"/>
  <c r="E150" i="4"/>
  <c r="F97" i="4"/>
  <c r="G142" i="4" l="1"/>
  <c r="G144" i="4"/>
  <c r="G120" i="4"/>
  <c r="G112" i="4"/>
  <c r="G99" i="4"/>
  <c r="G145" i="4"/>
  <c r="G137" i="4"/>
  <c r="G129" i="4"/>
  <c r="G121" i="4"/>
  <c r="G113" i="4"/>
  <c r="G105" i="4"/>
  <c r="F148" i="4"/>
  <c r="G148" i="4" s="1"/>
  <c r="F116" i="4"/>
  <c r="G116" i="4" s="1"/>
  <c r="G132" i="4"/>
  <c r="F140" i="4"/>
  <c r="G140" i="4" s="1"/>
  <c r="F108" i="4"/>
  <c r="G108" i="4" s="1"/>
  <c r="G124" i="4"/>
  <c r="F144" i="4"/>
  <c r="F128" i="4"/>
  <c r="G128" i="4" s="1"/>
  <c r="F112" i="4"/>
  <c r="F136" i="4"/>
  <c r="G136" i="4" s="1"/>
  <c r="F120" i="4"/>
  <c r="F104" i="4"/>
  <c r="G104" i="4" s="1"/>
  <c r="F99" i="4"/>
  <c r="F147" i="4"/>
  <c r="G147" i="4" s="1"/>
  <c r="F143" i="4"/>
  <c r="G143" i="4" s="1"/>
  <c r="F139" i="4"/>
  <c r="G139" i="4" s="1"/>
  <c r="F135" i="4"/>
  <c r="G135" i="4" s="1"/>
  <c r="F131" i="4"/>
  <c r="G131" i="4" s="1"/>
  <c r="F127" i="4"/>
  <c r="G127" i="4" s="1"/>
  <c r="F123" i="4"/>
  <c r="G123" i="4" s="1"/>
  <c r="F119" i="4"/>
  <c r="G119" i="4" s="1"/>
  <c r="F115" i="4"/>
  <c r="G115" i="4" s="1"/>
  <c r="F111" i="4"/>
  <c r="G111" i="4" s="1"/>
  <c r="F107" i="4"/>
  <c r="G107" i="4" s="1"/>
  <c r="F103" i="4"/>
  <c r="G103" i="4" s="1"/>
  <c r="F98" i="4"/>
  <c r="G98" i="4" s="1"/>
  <c r="F150" i="4"/>
  <c r="G150" i="4" s="1"/>
  <c r="F146" i="4"/>
  <c r="G146" i="4" s="1"/>
  <c r="F142" i="4"/>
  <c r="F138" i="4"/>
  <c r="G138" i="4" s="1"/>
  <c r="F134" i="4"/>
  <c r="G134" i="4" s="1"/>
  <c r="F130" i="4"/>
  <c r="G130" i="4" s="1"/>
  <c r="F126" i="4"/>
  <c r="G126" i="4" s="1"/>
  <c r="F122" i="4"/>
  <c r="G122" i="4" s="1"/>
  <c r="F118" i="4"/>
  <c r="G118" i="4" s="1"/>
  <c r="F114" i="4"/>
  <c r="G114" i="4" s="1"/>
  <c r="F110" i="4"/>
  <c r="G110" i="4" s="1"/>
  <c r="F106" i="4"/>
  <c r="G106" i="4" s="1"/>
  <c r="F102" i="4"/>
  <c r="G102" i="4" s="1"/>
  <c r="F149" i="4"/>
  <c r="G149" i="4" s="1"/>
  <c r="F145" i="4"/>
  <c r="F141" i="4"/>
  <c r="G141" i="4" s="1"/>
  <c r="F137" i="4"/>
  <c r="F133" i="4"/>
  <c r="G133" i="4" s="1"/>
  <c r="F129" i="4"/>
  <c r="F125" i="4"/>
  <c r="G125" i="4" s="1"/>
  <c r="F121" i="4"/>
  <c r="F117" i="4"/>
  <c r="G117" i="4" s="1"/>
  <c r="F113" i="4"/>
  <c r="F109" i="4"/>
  <c r="G109" i="4" s="1"/>
  <c r="F105" i="4"/>
  <c r="F100" i="4"/>
  <c r="G100" i="4" s="1"/>
  <c r="H58" i="1" l="1"/>
  <c r="F27" i="1"/>
  <c r="F28" i="1"/>
  <c r="F29" i="1"/>
  <c r="F30" i="1"/>
  <c r="F31" i="1"/>
  <c r="F23" i="1"/>
  <c r="F24" i="1"/>
  <c r="F25" i="1"/>
  <c r="F26" i="1"/>
  <c r="K46" i="8" l="1"/>
  <c r="K40" i="8"/>
  <c r="K34" i="8"/>
  <c r="K28" i="8"/>
  <c r="K22" i="8"/>
  <c r="K16" i="8"/>
  <c r="H70" i="13" l="1"/>
  <c r="H69" i="13"/>
  <c r="H68" i="13"/>
  <c r="H67" i="13"/>
  <c r="H66" i="13"/>
  <c r="H65" i="13"/>
  <c r="H64" i="13"/>
  <c r="H63" i="13"/>
  <c r="H62" i="13"/>
  <c r="H61" i="13"/>
  <c r="H80" i="13"/>
  <c r="H79" i="13"/>
  <c r="H78" i="13"/>
  <c r="H77" i="13"/>
  <c r="H76" i="13"/>
  <c r="H75" i="13"/>
  <c r="H74" i="13"/>
  <c r="H73" i="13"/>
  <c r="H72" i="13"/>
  <c r="H71" i="13"/>
  <c r="H151" i="13"/>
  <c r="H150" i="13"/>
  <c r="H149" i="13"/>
  <c r="H148" i="13"/>
  <c r="H147" i="13"/>
  <c r="H146" i="13"/>
  <c r="H145" i="13"/>
  <c r="H83" i="13"/>
  <c r="H82" i="13"/>
  <c r="H81" i="13"/>
  <c r="H161" i="13"/>
  <c r="H160" i="13"/>
  <c r="H159" i="13"/>
  <c r="H158" i="13"/>
  <c r="H157" i="13"/>
  <c r="H156" i="13"/>
  <c r="H155" i="13"/>
  <c r="H154" i="13"/>
  <c r="H153" i="13"/>
  <c r="H152" i="13"/>
  <c r="H171" i="13"/>
  <c r="H170" i="13"/>
  <c r="H169" i="13"/>
  <c r="H168" i="13"/>
  <c r="H167" i="13"/>
  <c r="H166" i="13"/>
  <c r="H165" i="13"/>
  <c r="H164" i="13"/>
  <c r="H163" i="13"/>
  <c r="H162" i="13"/>
  <c r="H181" i="13"/>
  <c r="H180" i="13"/>
  <c r="H179" i="13"/>
  <c r="H178" i="13"/>
  <c r="H177" i="13"/>
  <c r="H176" i="13"/>
  <c r="H175" i="13"/>
  <c r="H174" i="13"/>
  <c r="H173" i="13"/>
  <c r="H172" i="13"/>
  <c r="H59" i="14"/>
  <c r="H58" i="14"/>
  <c r="H57" i="14"/>
  <c r="T57" i="14" s="1"/>
  <c r="V57" i="14" s="1"/>
  <c r="H56" i="14"/>
  <c r="T56" i="14" s="1"/>
  <c r="V56" i="14" s="1"/>
  <c r="H55" i="14"/>
  <c r="H54" i="14"/>
  <c r="H53" i="14"/>
  <c r="T53" i="14" s="1"/>
  <c r="V53" i="14" s="1"/>
  <c r="H52" i="14"/>
  <c r="T52" i="14" s="1"/>
  <c r="V52" i="14" s="1"/>
  <c r="H51" i="14"/>
  <c r="H50" i="14"/>
  <c r="H69" i="14"/>
  <c r="H68" i="14"/>
  <c r="H67" i="14"/>
  <c r="T67" i="14" s="1"/>
  <c r="V67" i="14" s="1"/>
  <c r="H66" i="14"/>
  <c r="T66" i="14" s="1"/>
  <c r="V66" i="14" s="1"/>
  <c r="H65" i="14"/>
  <c r="T65" i="14" s="1"/>
  <c r="V65" i="14" s="1"/>
  <c r="H64" i="14"/>
  <c r="H63" i="14"/>
  <c r="T63" i="14" s="1"/>
  <c r="V63" i="14" s="1"/>
  <c r="H62" i="14"/>
  <c r="H61" i="14"/>
  <c r="T61" i="14" s="1"/>
  <c r="V61" i="14" s="1"/>
  <c r="H60" i="14"/>
  <c r="H79" i="14"/>
  <c r="H78" i="14"/>
  <c r="H77" i="14"/>
  <c r="T77" i="14" s="1"/>
  <c r="V77" i="14" s="1"/>
  <c r="H76" i="14"/>
  <c r="H75" i="14"/>
  <c r="T75" i="14" s="1"/>
  <c r="V75" i="14" s="1"/>
  <c r="H74" i="14"/>
  <c r="H73" i="14"/>
  <c r="T73" i="14" s="1"/>
  <c r="V73" i="14" s="1"/>
  <c r="H72" i="14"/>
  <c r="H71" i="14"/>
  <c r="H70" i="14"/>
  <c r="H49" i="14"/>
  <c r="H48" i="14"/>
  <c r="T48" i="14" s="1"/>
  <c r="V48" i="14" s="1"/>
  <c r="H47" i="14"/>
  <c r="T47" i="14" s="1"/>
  <c r="V47" i="14" s="1"/>
  <c r="H46" i="14"/>
  <c r="H45" i="14"/>
  <c r="H44" i="14"/>
  <c r="T44" i="14" s="1"/>
  <c r="V44" i="14" s="1"/>
  <c r="H43" i="14"/>
  <c r="T43" i="14" s="1"/>
  <c r="V43" i="14" s="1"/>
  <c r="H42" i="14"/>
  <c r="T42" i="14" s="1"/>
  <c r="V42" i="14" s="1"/>
  <c r="H41" i="14"/>
  <c r="H40" i="14"/>
  <c r="T40" i="14" s="1"/>
  <c r="V40" i="14" s="1"/>
  <c r="H89" i="14"/>
  <c r="H88" i="14"/>
  <c r="T88" i="14" s="1"/>
  <c r="V88" i="14" s="1"/>
  <c r="H87" i="14"/>
  <c r="T87" i="14" s="1"/>
  <c r="V87" i="14" s="1"/>
  <c r="H86" i="14"/>
  <c r="H85" i="14"/>
  <c r="H84" i="14"/>
  <c r="T84" i="14" s="1"/>
  <c r="V84" i="14" s="1"/>
  <c r="H83" i="14"/>
  <c r="T83" i="14" s="1"/>
  <c r="V83" i="14" s="1"/>
  <c r="H82" i="14"/>
  <c r="H81" i="14"/>
  <c r="H80" i="14"/>
  <c r="T80" i="14" s="1"/>
  <c r="V80" i="14" s="1"/>
  <c r="H93" i="14"/>
  <c r="H92" i="14"/>
  <c r="H91" i="14"/>
  <c r="T91" i="14" s="1"/>
  <c r="V91" i="14" s="1"/>
  <c r="H90" i="14"/>
  <c r="H39" i="14"/>
  <c r="H38" i="14"/>
  <c r="H99" i="14"/>
  <c r="H98" i="14"/>
  <c r="H97" i="14"/>
  <c r="T97" i="14" s="1"/>
  <c r="V97" i="14" s="1"/>
  <c r="H96" i="14"/>
  <c r="H95" i="14"/>
  <c r="H94" i="14"/>
  <c r="D24" i="9"/>
  <c r="F36" i="10"/>
  <c r="J36" i="10" s="1"/>
  <c r="F35" i="10"/>
  <c r="J35" i="10" s="1"/>
  <c r="F34" i="10"/>
  <c r="J34" i="10" s="1"/>
  <c r="F33" i="10"/>
  <c r="J33" i="10" s="1"/>
  <c r="F32" i="10"/>
  <c r="J32" i="10" s="1"/>
  <c r="F31" i="10"/>
  <c r="J31" i="10" s="1"/>
  <c r="F30" i="10"/>
  <c r="J30" i="10" s="1"/>
  <c r="F29" i="10"/>
  <c r="J29" i="10" s="1"/>
  <c r="F28" i="10"/>
  <c r="J28" i="10" s="1"/>
  <c r="F27" i="10"/>
  <c r="J27" i="10" s="1"/>
  <c r="F26" i="10"/>
  <c r="J26" i="10" s="1"/>
  <c r="F25" i="10"/>
  <c r="J25" i="10" s="1"/>
  <c r="F24" i="10"/>
  <c r="J24" i="10" s="1"/>
  <c r="F23" i="10"/>
  <c r="J23" i="10" s="1"/>
  <c r="F22" i="10"/>
  <c r="J22" i="10" s="1"/>
  <c r="F44" i="10"/>
  <c r="J44" i="10" s="1"/>
  <c r="F43" i="10"/>
  <c r="J43" i="10" s="1"/>
  <c r="F42" i="10"/>
  <c r="J42" i="10" s="1"/>
  <c r="F41" i="10"/>
  <c r="J41" i="10" s="1"/>
  <c r="F40" i="10"/>
  <c r="J40" i="10" s="1"/>
  <c r="F39" i="10"/>
  <c r="J39" i="10" s="1"/>
  <c r="F38" i="10"/>
  <c r="J38" i="10" s="1"/>
  <c r="F37" i="10"/>
  <c r="J37" i="10" s="1"/>
  <c r="R177" i="13" l="1"/>
  <c r="S177" i="13" s="1"/>
  <c r="W177" i="13"/>
  <c r="X177" i="13" s="1"/>
  <c r="R178" i="13"/>
  <c r="S178" i="13" s="1"/>
  <c r="W178" i="13"/>
  <c r="X178" i="13" s="1"/>
  <c r="R166" i="13"/>
  <c r="S166" i="13" s="1"/>
  <c r="W166" i="13"/>
  <c r="X166" i="13" s="1"/>
  <c r="W154" i="13"/>
  <c r="X154" i="13" s="1"/>
  <c r="R154" i="13"/>
  <c r="S154" i="13" s="1"/>
  <c r="W81" i="13"/>
  <c r="X81" i="13" s="1"/>
  <c r="R81" i="13"/>
  <c r="S81" i="13" s="1"/>
  <c r="R150" i="13"/>
  <c r="S150" i="13" s="1"/>
  <c r="W150" i="13"/>
  <c r="X150" i="13" s="1"/>
  <c r="R77" i="13"/>
  <c r="S77" i="13" s="1"/>
  <c r="W77" i="13"/>
  <c r="X77" i="13" s="1"/>
  <c r="R65" i="13"/>
  <c r="S65" i="13" s="1"/>
  <c r="W65" i="13"/>
  <c r="X65" i="13" s="1"/>
  <c r="R153" i="13"/>
  <c r="S153" i="13" s="1"/>
  <c r="W153" i="13"/>
  <c r="X153" i="13" s="1"/>
  <c r="R179" i="13"/>
  <c r="S179" i="13" s="1"/>
  <c r="W179" i="13"/>
  <c r="X179" i="13" s="1"/>
  <c r="R167" i="13"/>
  <c r="S167" i="13" s="1"/>
  <c r="W167" i="13"/>
  <c r="X167" i="13" s="1"/>
  <c r="W155" i="13"/>
  <c r="X155" i="13" s="1"/>
  <c r="R155" i="13"/>
  <c r="S155" i="13" s="1"/>
  <c r="R82" i="13"/>
  <c r="S82" i="13" s="1"/>
  <c r="W82" i="13"/>
  <c r="X82" i="13" s="1"/>
  <c r="R151" i="13"/>
  <c r="S151" i="13" s="1"/>
  <c r="W151" i="13"/>
  <c r="X151" i="13" s="1"/>
  <c r="W78" i="13"/>
  <c r="X78" i="13" s="1"/>
  <c r="R78" i="13"/>
  <c r="S78" i="13" s="1"/>
  <c r="W66" i="13"/>
  <c r="X66" i="13" s="1"/>
  <c r="R66" i="13"/>
  <c r="S66" i="13" s="1"/>
  <c r="R64" i="13"/>
  <c r="S64" i="13" s="1"/>
  <c r="W64" i="13"/>
  <c r="X64" i="13" s="1"/>
  <c r="R172" i="13"/>
  <c r="S172" i="13" s="1"/>
  <c r="W172" i="13"/>
  <c r="X172" i="13" s="1"/>
  <c r="R180" i="13"/>
  <c r="S180" i="13" s="1"/>
  <c r="W180" i="13"/>
  <c r="X180" i="13" s="1"/>
  <c r="R168" i="13"/>
  <c r="S168" i="13" s="1"/>
  <c r="W168" i="13"/>
  <c r="X168" i="13" s="1"/>
  <c r="W156" i="13"/>
  <c r="X156" i="13" s="1"/>
  <c r="R156" i="13"/>
  <c r="S156" i="13" s="1"/>
  <c r="W83" i="13"/>
  <c r="X83" i="13" s="1"/>
  <c r="R83" i="13"/>
  <c r="S83" i="13" s="1"/>
  <c r="R71" i="13"/>
  <c r="S71" i="13" s="1"/>
  <c r="W71" i="13"/>
  <c r="X71" i="13" s="1"/>
  <c r="R79" i="13"/>
  <c r="S79" i="13" s="1"/>
  <c r="W79" i="13"/>
  <c r="X79" i="13" s="1"/>
  <c r="W67" i="13"/>
  <c r="X67" i="13" s="1"/>
  <c r="R67" i="13"/>
  <c r="S67" i="13" s="1"/>
  <c r="R149" i="13"/>
  <c r="S149" i="13" s="1"/>
  <c r="W149" i="13"/>
  <c r="X149" i="13" s="1"/>
  <c r="R173" i="13"/>
  <c r="S173" i="13" s="1"/>
  <c r="W173" i="13"/>
  <c r="X173" i="13" s="1"/>
  <c r="W181" i="13"/>
  <c r="X181" i="13" s="1"/>
  <c r="R181" i="13"/>
  <c r="S181" i="13" s="1"/>
  <c r="R169" i="13"/>
  <c r="S169" i="13" s="1"/>
  <c r="W169" i="13"/>
  <c r="X169" i="13" s="1"/>
  <c r="R157" i="13"/>
  <c r="S157" i="13" s="1"/>
  <c r="W157" i="13"/>
  <c r="X157" i="13" s="1"/>
  <c r="R145" i="13"/>
  <c r="S145" i="13" s="1"/>
  <c r="W145" i="13"/>
  <c r="X145" i="13" s="1"/>
  <c r="W72" i="13"/>
  <c r="X72" i="13" s="1"/>
  <c r="R72" i="13"/>
  <c r="S72" i="13" s="1"/>
  <c r="W80" i="13"/>
  <c r="X80" i="13" s="1"/>
  <c r="R80" i="13"/>
  <c r="S80" i="13" s="1"/>
  <c r="R68" i="13"/>
  <c r="S68" i="13" s="1"/>
  <c r="W68" i="13"/>
  <c r="X68" i="13" s="1"/>
  <c r="R165" i="13"/>
  <c r="S165" i="13" s="1"/>
  <c r="W165" i="13"/>
  <c r="X165" i="13" s="1"/>
  <c r="R174" i="13"/>
  <c r="S174" i="13" s="1"/>
  <c r="W174" i="13"/>
  <c r="X174" i="13" s="1"/>
  <c r="R162" i="13"/>
  <c r="S162" i="13" s="1"/>
  <c r="W162" i="13"/>
  <c r="X162" i="13" s="1"/>
  <c r="W170" i="13"/>
  <c r="X170" i="13" s="1"/>
  <c r="R170" i="13"/>
  <c r="S170" i="13" s="1"/>
  <c r="W158" i="13"/>
  <c r="X158" i="13" s="1"/>
  <c r="R158" i="13"/>
  <c r="S158" i="13" s="1"/>
  <c r="W146" i="13"/>
  <c r="X146" i="13" s="1"/>
  <c r="R146" i="13"/>
  <c r="S146" i="13" s="1"/>
  <c r="R73" i="13"/>
  <c r="S73" i="13" s="1"/>
  <c r="W73" i="13"/>
  <c r="X73" i="13" s="1"/>
  <c r="W61" i="13"/>
  <c r="X61" i="13" s="1"/>
  <c r="R61" i="13"/>
  <c r="S61" i="13" s="1"/>
  <c r="W69" i="13"/>
  <c r="X69" i="13" s="1"/>
  <c r="R69" i="13"/>
  <c r="S69" i="13" s="1"/>
  <c r="W161" i="13"/>
  <c r="X161" i="13" s="1"/>
  <c r="R161" i="13"/>
  <c r="S161" i="13" s="1"/>
  <c r="R175" i="13"/>
  <c r="S175" i="13" s="1"/>
  <c r="W175" i="13"/>
  <c r="X175" i="13" s="1"/>
  <c r="R163" i="13"/>
  <c r="S163" i="13" s="1"/>
  <c r="W163" i="13"/>
  <c r="X163" i="13" s="1"/>
  <c r="W171" i="13"/>
  <c r="X171" i="13" s="1"/>
  <c r="R171" i="13"/>
  <c r="S171" i="13" s="1"/>
  <c r="R159" i="13"/>
  <c r="S159" i="13" s="1"/>
  <c r="W159" i="13"/>
  <c r="X159" i="13" s="1"/>
  <c r="W147" i="13"/>
  <c r="X147" i="13" s="1"/>
  <c r="R147" i="13"/>
  <c r="S147" i="13" s="1"/>
  <c r="R74" i="13"/>
  <c r="S74" i="13" s="1"/>
  <c r="W74" i="13"/>
  <c r="X74" i="13" s="1"/>
  <c r="R62" i="13"/>
  <c r="S62" i="13" s="1"/>
  <c r="W62" i="13"/>
  <c r="X62" i="13" s="1"/>
  <c r="W70" i="13"/>
  <c r="X70" i="13" s="1"/>
  <c r="R70" i="13"/>
  <c r="S70" i="13" s="1"/>
  <c r="R76" i="13"/>
  <c r="S76" i="13" s="1"/>
  <c r="W76" i="13"/>
  <c r="X76" i="13" s="1"/>
  <c r="W176" i="13"/>
  <c r="X176" i="13" s="1"/>
  <c r="R176" i="13"/>
  <c r="S176" i="13" s="1"/>
  <c r="W164" i="13"/>
  <c r="X164" i="13" s="1"/>
  <c r="R164" i="13"/>
  <c r="S164" i="13" s="1"/>
  <c r="W152" i="13"/>
  <c r="X152" i="13" s="1"/>
  <c r="R152" i="13"/>
  <c r="S152" i="13" s="1"/>
  <c r="W160" i="13"/>
  <c r="X160" i="13" s="1"/>
  <c r="R160" i="13"/>
  <c r="S160" i="13" s="1"/>
  <c r="R148" i="13"/>
  <c r="S148" i="13" s="1"/>
  <c r="W148" i="13"/>
  <c r="X148" i="13" s="1"/>
  <c r="R75" i="13"/>
  <c r="S75" i="13" s="1"/>
  <c r="W75" i="13"/>
  <c r="X75" i="13" s="1"/>
  <c r="R63" i="13"/>
  <c r="S63" i="13" s="1"/>
  <c r="W63" i="13"/>
  <c r="X63" i="13" s="1"/>
  <c r="Q98" i="14"/>
  <c r="R98" i="14" s="1"/>
  <c r="S98" i="14" s="1"/>
  <c r="Q99" i="14"/>
  <c r="R99" i="14" s="1"/>
  <c r="S99" i="14" s="1"/>
  <c r="Q80" i="14"/>
  <c r="R80" i="14" s="1"/>
  <c r="S80" i="14" s="1"/>
  <c r="Q86" i="14"/>
  <c r="R86" i="14" s="1"/>
  <c r="S86" i="14" s="1"/>
  <c r="Q72" i="14"/>
  <c r="R72" i="14" s="1"/>
  <c r="S72" i="14" s="1"/>
  <c r="Q79" i="14"/>
  <c r="R79" i="14" s="1"/>
  <c r="S79" i="14" s="1"/>
  <c r="Q51" i="14"/>
  <c r="R51" i="14" s="1"/>
  <c r="S51" i="14" s="1"/>
  <c r="Q55" i="14"/>
  <c r="R55" i="14" s="1"/>
  <c r="S55" i="14" s="1"/>
  <c r="Q59" i="14"/>
  <c r="R59" i="14" s="1"/>
  <c r="S59" i="14" s="1"/>
  <c r="Q94" i="14"/>
  <c r="R94" i="14" s="1"/>
  <c r="S94" i="14" s="1"/>
  <c r="W97" i="14"/>
  <c r="X97" i="14" s="1"/>
  <c r="Q38" i="14"/>
  <c r="R38" i="14" s="1"/>
  <c r="S38" i="14" s="1"/>
  <c r="Q92" i="14"/>
  <c r="R92" i="14" s="1"/>
  <c r="S92" i="14" s="1"/>
  <c r="W80" i="14"/>
  <c r="X80" i="14" s="1"/>
  <c r="Q41" i="14"/>
  <c r="R41" i="14" s="1"/>
  <c r="S41" i="14" s="1"/>
  <c r="Q76" i="14"/>
  <c r="R76" i="14" s="1"/>
  <c r="S76" i="14" s="1"/>
  <c r="Q60" i="14"/>
  <c r="R60" i="14" s="1"/>
  <c r="S60" i="14" s="1"/>
  <c r="Q64" i="14"/>
  <c r="R64" i="14" s="1"/>
  <c r="S64" i="14" s="1"/>
  <c r="Q68" i="14"/>
  <c r="R68" i="14" s="1"/>
  <c r="S68" i="14" s="1"/>
  <c r="Q95" i="14"/>
  <c r="R95" i="14" s="1"/>
  <c r="S95" i="14" s="1"/>
  <c r="Q39" i="14"/>
  <c r="R39" i="14" s="1"/>
  <c r="S39" i="14" s="1"/>
  <c r="Q93" i="14"/>
  <c r="R93" i="14" s="1"/>
  <c r="S93" i="14" s="1"/>
  <c r="Q84" i="14"/>
  <c r="R84" i="14" s="1"/>
  <c r="S84" i="14" s="1"/>
  <c r="Q46" i="14"/>
  <c r="R46" i="14" s="1"/>
  <c r="S46" i="14" s="1"/>
  <c r="Q70" i="14"/>
  <c r="R70" i="14" s="1"/>
  <c r="S70" i="14" s="1"/>
  <c r="Q74" i="14"/>
  <c r="R74" i="14" s="1"/>
  <c r="S74" i="14" s="1"/>
  <c r="Q69" i="14"/>
  <c r="R69" i="14" s="1"/>
  <c r="S69" i="14" s="1"/>
  <c r="Q96" i="14"/>
  <c r="R96" i="14" s="1"/>
  <c r="S96" i="14" s="1"/>
  <c r="Q90" i="14"/>
  <c r="R90" i="14" s="1"/>
  <c r="S90" i="14" s="1"/>
  <c r="Q82" i="14"/>
  <c r="R82" i="14" s="1"/>
  <c r="S82" i="14" s="1"/>
  <c r="Q71" i="14"/>
  <c r="R71" i="14" s="1"/>
  <c r="S71" i="14" s="1"/>
  <c r="Q78" i="14"/>
  <c r="R78" i="14" s="1"/>
  <c r="S78" i="14" s="1"/>
  <c r="Q62" i="14"/>
  <c r="R62" i="14" s="1"/>
  <c r="S62" i="14" s="1"/>
  <c r="Q50" i="14"/>
  <c r="R50" i="14" s="1"/>
  <c r="S50" i="14" s="1"/>
  <c r="Q54" i="14"/>
  <c r="R54" i="14" s="1"/>
  <c r="S54" i="14" s="1"/>
  <c r="Q58" i="14"/>
  <c r="R58" i="14" s="1"/>
  <c r="S58" i="14" s="1"/>
  <c r="W63" i="14"/>
  <c r="X63" i="14" s="1"/>
  <c r="W53" i="14"/>
  <c r="X53" i="14" s="1"/>
  <c r="W88" i="14"/>
  <c r="X88" i="14" s="1"/>
  <c r="W84" i="14"/>
  <c r="X84" i="14" s="1"/>
  <c r="W56" i="14"/>
  <c r="X56" i="14" s="1"/>
  <c r="W65" i="14"/>
  <c r="X65" i="14" s="1"/>
  <c r="W57" i="14"/>
  <c r="X57" i="14" s="1"/>
  <c r="W83" i="14"/>
  <c r="X83" i="14" s="1"/>
  <c r="W87" i="14"/>
  <c r="X87" i="14" s="1"/>
  <c r="W67" i="14"/>
  <c r="X67" i="14" s="1"/>
  <c r="W52" i="14"/>
  <c r="X52" i="14" s="1"/>
  <c r="W61" i="14"/>
  <c r="X61" i="14" s="1"/>
  <c r="W66" i="14"/>
  <c r="X66" i="14" s="1"/>
  <c r="T55" i="14"/>
  <c r="V55" i="14" s="1"/>
  <c r="W55" i="14" s="1"/>
  <c r="X55" i="14" s="1"/>
  <c r="T50" i="14"/>
  <c r="V50" i="14" s="1"/>
  <c r="W50" i="14" s="1"/>
  <c r="X50" i="14" s="1"/>
  <c r="T54" i="14"/>
  <c r="V54" i="14" s="1"/>
  <c r="W54" i="14" s="1"/>
  <c r="X54" i="14" s="1"/>
  <c r="T58" i="14"/>
  <c r="V58" i="14" s="1"/>
  <c r="W58" i="14" s="1"/>
  <c r="X58" i="14" s="1"/>
  <c r="W75" i="14"/>
  <c r="X75" i="14" s="1"/>
  <c r="W77" i="14"/>
  <c r="X77" i="14" s="1"/>
  <c r="T51" i="14"/>
  <c r="V51" i="14" s="1"/>
  <c r="W51" i="14" s="1"/>
  <c r="X51" i="14" s="1"/>
  <c r="T59" i="14"/>
  <c r="V59" i="14" s="1"/>
  <c r="W59" i="14" s="1"/>
  <c r="X59" i="14" s="1"/>
  <c r="T62" i="14"/>
  <c r="V62" i="14" s="1"/>
  <c r="W62" i="14" s="1"/>
  <c r="X62" i="14" s="1"/>
  <c r="T69" i="14"/>
  <c r="V69" i="14" s="1"/>
  <c r="W69" i="14" s="1"/>
  <c r="X69" i="14" s="1"/>
  <c r="W73" i="14"/>
  <c r="X73" i="14" s="1"/>
  <c r="T60" i="14"/>
  <c r="V60" i="14" s="1"/>
  <c r="W60" i="14" s="1"/>
  <c r="X60" i="14" s="1"/>
  <c r="T64" i="14"/>
  <c r="V64" i="14" s="1"/>
  <c r="W64" i="14" s="1"/>
  <c r="X64" i="14" s="1"/>
  <c r="T68" i="14"/>
  <c r="V68" i="14" s="1"/>
  <c r="W68" i="14" s="1"/>
  <c r="X68" i="14" s="1"/>
  <c r="T72" i="14"/>
  <c r="V72" i="14" s="1"/>
  <c r="W72" i="14" s="1"/>
  <c r="X72" i="14" s="1"/>
  <c r="T76" i="14"/>
  <c r="V76" i="14" s="1"/>
  <c r="W76" i="14" s="1"/>
  <c r="X76" i="14" s="1"/>
  <c r="T71" i="14"/>
  <c r="V71" i="14" s="1"/>
  <c r="W71" i="14" s="1"/>
  <c r="X71" i="14" s="1"/>
  <c r="T79" i="14"/>
  <c r="V79" i="14" s="1"/>
  <c r="W79" i="14" s="1"/>
  <c r="X79" i="14" s="1"/>
  <c r="W40" i="14"/>
  <c r="X40" i="14" s="1"/>
  <c r="W43" i="14"/>
  <c r="X43" i="14" s="1"/>
  <c r="W47" i="14"/>
  <c r="X47" i="14" s="1"/>
  <c r="T70" i="14"/>
  <c r="V70" i="14" s="1"/>
  <c r="W70" i="14" s="1"/>
  <c r="X70" i="14" s="1"/>
  <c r="T74" i="14"/>
  <c r="V74" i="14" s="1"/>
  <c r="W74" i="14" s="1"/>
  <c r="X74" i="14" s="1"/>
  <c r="T78" i="14"/>
  <c r="V78" i="14" s="1"/>
  <c r="W78" i="14" s="1"/>
  <c r="X78" i="14" s="1"/>
  <c r="W42" i="14"/>
  <c r="X42" i="14" s="1"/>
  <c r="W44" i="14"/>
  <c r="X44" i="14" s="1"/>
  <c r="W48" i="14"/>
  <c r="X48" i="14" s="1"/>
  <c r="T46" i="14"/>
  <c r="V46" i="14" s="1"/>
  <c r="W46" i="14" s="1"/>
  <c r="X46" i="14" s="1"/>
  <c r="W91" i="14"/>
  <c r="X91" i="14" s="1"/>
  <c r="T41" i="14"/>
  <c r="V41" i="14" s="1"/>
  <c r="W41" i="14" s="1"/>
  <c r="X41" i="14" s="1"/>
  <c r="T45" i="14"/>
  <c r="V45" i="14" s="1"/>
  <c r="W45" i="14" s="1"/>
  <c r="X45" i="14" s="1"/>
  <c r="T49" i="14"/>
  <c r="V49" i="14" s="1"/>
  <c r="W49" i="14" s="1"/>
  <c r="X49" i="14" s="1"/>
  <c r="T82" i="14"/>
  <c r="V82" i="14" s="1"/>
  <c r="W82" i="14" s="1"/>
  <c r="X82" i="14" s="1"/>
  <c r="T86" i="14"/>
  <c r="V86" i="14" s="1"/>
  <c r="W86" i="14" s="1"/>
  <c r="X86" i="14" s="1"/>
  <c r="T81" i="14"/>
  <c r="V81" i="14" s="1"/>
  <c r="W81" i="14" s="1"/>
  <c r="X81" i="14" s="1"/>
  <c r="T85" i="14"/>
  <c r="V85" i="14" s="1"/>
  <c r="W85" i="14" s="1"/>
  <c r="X85" i="14" s="1"/>
  <c r="T89" i="14"/>
  <c r="V89" i="14" s="1"/>
  <c r="W89" i="14" s="1"/>
  <c r="X89" i="14" s="1"/>
  <c r="T90" i="14"/>
  <c r="V90" i="14" s="1"/>
  <c r="W90" i="14" s="1"/>
  <c r="X90" i="14" s="1"/>
  <c r="T39" i="14"/>
  <c r="V39" i="14" s="1"/>
  <c r="W39" i="14" s="1"/>
  <c r="X39" i="14" s="1"/>
  <c r="T93" i="14"/>
  <c r="V93" i="14" s="1"/>
  <c r="W93" i="14" s="1"/>
  <c r="X93" i="14" s="1"/>
  <c r="T38" i="14"/>
  <c r="V38" i="14" s="1"/>
  <c r="W38" i="14" s="1"/>
  <c r="X38" i="14" s="1"/>
  <c r="T92" i="14"/>
  <c r="V92" i="14" s="1"/>
  <c r="W92" i="14" s="1"/>
  <c r="X92" i="14" s="1"/>
  <c r="T95" i="14"/>
  <c r="V95" i="14" s="1"/>
  <c r="W95" i="14" s="1"/>
  <c r="X95" i="14" s="1"/>
  <c r="T99" i="14"/>
  <c r="V99" i="14" s="1"/>
  <c r="W99" i="14" s="1"/>
  <c r="X99" i="14" s="1"/>
  <c r="T94" i="14"/>
  <c r="V94" i="14" s="1"/>
  <c r="W94" i="14" s="1"/>
  <c r="X94" i="14" s="1"/>
  <c r="T98" i="14"/>
  <c r="V98" i="14" s="1"/>
  <c r="W98" i="14" s="1"/>
  <c r="X98" i="14" s="1"/>
  <c r="T96" i="14"/>
  <c r="V96" i="14" s="1"/>
  <c r="W96" i="14" s="1"/>
  <c r="X96" i="14" s="1"/>
  <c r="Q77" i="14" l="1"/>
  <c r="R77" i="14" s="1"/>
  <c r="S77" i="14" s="1"/>
  <c r="Q81" i="14"/>
  <c r="R81" i="14" s="1"/>
  <c r="S81" i="14" s="1"/>
  <c r="Q44" i="14"/>
  <c r="R44" i="14" s="1"/>
  <c r="S44" i="14" s="1"/>
  <c r="Q53" i="14"/>
  <c r="R53" i="14" s="1"/>
  <c r="S53" i="14" s="1"/>
  <c r="Q91" i="14"/>
  <c r="R91" i="14" s="1"/>
  <c r="S91" i="14" s="1"/>
  <c r="Q49" i="14"/>
  <c r="R49" i="14" s="1"/>
  <c r="S49" i="14" s="1"/>
  <c r="Q42" i="14"/>
  <c r="R42" i="14" s="1"/>
  <c r="S42" i="14" s="1"/>
  <c r="Q40" i="14"/>
  <c r="R40" i="14" s="1"/>
  <c r="S40" i="14" s="1"/>
  <c r="Q75" i="14"/>
  <c r="R75" i="14" s="1"/>
  <c r="S75" i="14" s="1"/>
  <c r="Q48" i="14"/>
  <c r="R48" i="14" s="1"/>
  <c r="S48" i="14" s="1"/>
  <c r="Q61" i="14"/>
  <c r="R61" i="14" s="1"/>
  <c r="S61" i="14" s="1"/>
  <c r="Q52" i="14"/>
  <c r="R52" i="14" s="1"/>
  <c r="S52" i="14" s="1"/>
  <c r="Q83" i="14"/>
  <c r="R83" i="14" s="1"/>
  <c r="S83" i="14" s="1"/>
  <c r="Q88" i="14"/>
  <c r="R88" i="14" s="1"/>
  <c r="S88" i="14" s="1"/>
  <c r="Q89" i="14"/>
  <c r="R89" i="14" s="1"/>
  <c r="S89" i="14" s="1"/>
  <c r="Q45" i="14"/>
  <c r="R45" i="14" s="1"/>
  <c r="S45" i="14" s="1"/>
  <c r="Q47" i="14"/>
  <c r="R47" i="14" s="1"/>
  <c r="S47" i="14" s="1"/>
  <c r="Q66" i="14"/>
  <c r="R66" i="14" s="1"/>
  <c r="S66" i="14" s="1"/>
  <c r="Q56" i="14"/>
  <c r="R56" i="14" s="1"/>
  <c r="S56" i="14" s="1"/>
  <c r="Q87" i="14"/>
  <c r="R87" i="14" s="1"/>
  <c r="S87" i="14" s="1"/>
  <c r="Q85" i="14"/>
  <c r="R85" i="14" s="1"/>
  <c r="S85" i="14" s="1"/>
  <c r="Q43" i="14"/>
  <c r="R43" i="14" s="1"/>
  <c r="S43" i="14" s="1"/>
  <c r="Q73" i="14"/>
  <c r="R73" i="14" s="1"/>
  <c r="S73" i="14" s="1"/>
  <c r="Q65" i="14"/>
  <c r="R65" i="14" s="1"/>
  <c r="S65" i="14" s="1"/>
  <c r="Q57" i="14"/>
  <c r="R57" i="14" s="1"/>
  <c r="S57" i="14" s="1"/>
  <c r="Q63" i="14"/>
  <c r="R63" i="14" s="1"/>
  <c r="S63" i="14" s="1"/>
  <c r="Q67" i="14"/>
  <c r="R67" i="14" s="1"/>
  <c r="S67" i="14" s="1"/>
  <c r="Q97" i="14"/>
  <c r="R97" i="14" s="1"/>
  <c r="S97" i="14" s="1"/>
  <c r="F5" i="10" l="1"/>
  <c r="F45" i="10"/>
  <c r="F46" i="10"/>
  <c r="F47" i="10"/>
  <c r="F48" i="10"/>
  <c r="F49" i="10"/>
  <c r="F50" i="10"/>
  <c r="F51" i="10"/>
  <c r="F52" i="10"/>
  <c r="F53" i="10"/>
  <c r="F4" i="10"/>
  <c r="E18" i="4"/>
  <c r="H18" i="4" l="1"/>
  <c r="K18" i="4"/>
  <c r="C6" i="12" l="1"/>
  <c r="C7" i="12"/>
  <c r="C5" i="12"/>
  <c r="C13" i="2"/>
  <c r="I43" i="7"/>
  <c r="I44" i="7"/>
  <c r="I45" i="7"/>
  <c r="I46" i="7"/>
  <c r="I36" i="7"/>
  <c r="C64" i="8" l="1"/>
  <c r="E13" i="2" l="1"/>
  <c r="E14" i="2"/>
  <c r="E16" i="2"/>
  <c r="J64" i="8" l="1"/>
  <c r="D62" i="8"/>
  <c r="B38" i="4" l="1"/>
  <c r="B18" i="4"/>
  <c r="B20" i="4"/>
  <c r="B19" i="4"/>
  <c r="J5" i="10" l="1"/>
  <c r="J45" i="10"/>
  <c r="J46" i="10"/>
  <c r="J47" i="10"/>
  <c r="J48" i="10"/>
  <c r="J49" i="10"/>
  <c r="J50" i="10"/>
  <c r="J51" i="10"/>
  <c r="J52" i="10"/>
  <c r="J53" i="10"/>
  <c r="J4" i="10"/>
  <c r="H14" i="1"/>
  <c r="C12" i="23" l="1"/>
  <c r="C9" i="23" s="1"/>
  <c r="E12" i="23"/>
  <c r="C15" i="1"/>
  <c r="H59" i="1"/>
  <c r="B114" i="14"/>
  <c r="B113" i="14"/>
  <c r="L108" i="14"/>
  <c r="T108" i="14" s="1"/>
  <c r="K108" i="14"/>
  <c r="J108" i="14"/>
  <c r="H106" i="14"/>
  <c r="H105" i="14"/>
  <c r="H104" i="14"/>
  <c r="H103" i="14"/>
  <c r="H102" i="14"/>
  <c r="H101" i="14"/>
  <c r="H100"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T8" i="14" s="1"/>
  <c r="H7" i="14"/>
  <c r="T5" i="14"/>
  <c r="O5" i="14"/>
  <c r="H9" i="13"/>
  <c r="C17" i="23" l="1"/>
  <c r="C13" i="23" s="1"/>
  <c r="D34" i="23"/>
  <c r="D33" i="23"/>
  <c r="D32" i="23"/>
  <c r="D35" i="23"/>
  <c r="D31" i="23"/>
  <c r="W9" i="13"/>
  <c r="R9" i="13"/>
  <c r="O108" i="14"/>
  <c r="D114" i="14"/>
  <c r="V8" i="14"/>
  <c r="W8" i="14" s="1"/>
  <c r="X8" i="14" s="1"/>
  <c r="T19" i="14"/>
  <c r="V19" i="14" s="1"/>
  <c r="W19" i="14" s="1"/>
  <c r="X19" i="14" s="1"/>
  <c r="T31" i="14"/>
  <c r="V31" i="14" s="1"/>
  <c r="W31" i="14" s="1"/>
  <c r="X31" i="14" s="1"/>
  <c r="T105" i="14"/>
  <c r="V105" i="14" s="1"/>
  <c r="W105" i="14" s="1"/>
  <c r="X105" i="14" s="1"/>
  <c r="T9" i="14"/>
  <c r="V9" i="14" s="1"/>
  <c r="W9" i="14" s="1"/>
  <c r="X9" i="14" s="1"/>
  <c r="T15" i="14"/>
  <c r="V15" i="14" s="1"/>
  <c r="W15" i="14" s="1"/>
  <c r="X15" i="14" s="1"/>
  <c r="Q15" i="14"/>
  <c r="R15" i="14" s="1"/>
  <c r="S15" i="14" s="1"/>
  <c r="T21" i="14"/>
  <c r="V21" i="14" s="1"/>
  <c r="T27" i="14"/>
  <c r="V27" i="14" s="1"/>
  <c r="W27" i="14" s="1"/>
  <c r="X27" i="14" s="1"/>
  <c r="T33" i="14"/>
  <c r="V33" i="14" s="1"/>
  <c r="W33" i="14" s="1"/>
  <c r="X33" i="14" s="1"/>
  <c r="T101" i="14"/>
  <c r="V101" i="14" s="1"/>
  <c r="T12" i="14"/>
  <c r="V12" i="14" s="1"/>
  <c r="W12" i="14" s="1"/>
  <c r="X12" i="14" s="1"/>
  <c r="Q12" i="14"/>
  <c r="R12" i="14" s="1"/>
  <c r="S12" i="14" s="1"/>
  <c r="T25" i="14"/>
  <c r="V25" i="14" s="1"/>
  <c r="W25" i="14" s="1"/>
  <c r="X25" i="14" s="1"/>
  <c r="T10" i="14"/>
  <c r="V10" i="14" s="1"/>
  <c r="W10" i="14" s="1"/>
  <c r="X10" i="14" s="1"/>
  <c r="T16" i="14"/>
  <c r="V16" i="14" s="1"/>
  <c r="W16" i="14" s="1"/>
  <c r="X16" i="14" s="1"/>
  <c r="T34" i="14"/>
  <c r="V34" i="14" s="1"/>
  <c r="W34" i="14" s="1"/>
  <c r="X34" i="14" s="1"/>
  <c r="Q34" i="14"/>
  <c r="R34" i="14" s="1"/>
  <c r="S34" i="14" s="1"/>
  <c r="T102" i="14"/>
  <c r="V102" i="14" s="1"/>
  <c r="W102" i="14" s="1"/>
  <c r="X102" i="14" s="1"/>
  <c r="T17" i="14"/>
  <c r="V17" i="14" s="1"/>
  <c r="W17" i="14" s="1"/>
  <c r="X17" i="14" s="1"/>
  <c r="Q17" i="14"/>
  <c r="R17" i="14" s="1"/>
  <c r="S17" i="14" s="1"/>
  <c r="T23" i="14"/>
  <c r="V23" i="14" s="1"/>
  <c r="W23" i="14" s="1"/>
  <c r="X23" i="14" s="1"/>
  <c r="T29" i="14"/>
  <c r="V29" i="14" s="1"/>
  <c r="W29" i="14" s="1"/>
  <c r="X29" i="14" s="1"/>
  <c r="Q29" i="14"/>
  <c r="R29" i="14" s="1"/>
  <c r="S29" i="14" s="1"/>
  <c r="T35" i="14"/>
  <c r="V35" i="14" s="1"/>
  <c r="W35" i="14" s="1"/>
  <c r="X35" i="14" s="1"/>
  <c r="T103" i="14"/>
  <c r="V103" i="14" s="1"/>
  <c r="W103" i="14" s="1"/>
  <c r="X103" i="14" s="1"/>
  <c r="T11" i="14"/>
  <c r="V11" i="14" s="1"/>
  <c r="W11" i="14" s="1"/>
  <c r="X11" i="14" s="1"/>
  <c r="T18" i="14"/>
  <c r="V18" i="14" s="1"/>
  <c r="W18" i="14" s="1"/>
  <c r="X18" i="14" s="1"/>
  <c r="T24" i="14"/>
  <c r="V24" i="14" s="1"/>
  <c r="W24" i="14" s="1"/>
  <c r="X24" i="14" s="1"/>
  <c r="T30" i="14"/>
  <c r="V30" i="14" s="1"/>
  <c r="W30" i="14" s="1"/>
  <c r="X30" i="14" s="1"/>
  <c r="T36" i="14"/>
  <c r="V36" i="14" s="1"/>
  <c r="W36" i="14" s="1"/>
  <c r="X36" i="14" s="1"/>
  <c r="T104" i="14"/>
  <c r="V104" i="14" s="1"/>
  <c r="W104" i="14" s="1"/>
  <c r="X104" i="14" s="1"/>
  <c r="T13" i="14"/>
  <c r="V13" i="14" s="1"/>
  <c r="W13" i="14" s="1"/>
  <c r="X13" i="14" s="1"/>
  <c r="T28" i="14"/>
  <c r="V28" i="14" s="1"/>
  <c r="W28" i="14" s="1"/>
  <c r="X28" i="14" s="1"/>
  <c r="T14" i="14"/>
  <c r="V14" i="14" s="1"/>
  <c r="W14" i="14" s="1"/>
  <c r="X14" i="14" s="1"/>
  <c r="T20" i="14"/>
  <c r="V20" i="14" s="1"/>
  <c r="W20" i="14" s="1"/>
  <c r="X20" i="14" s="1"/>
  <c r="T26" i="14"/>
  <c r="V26" i="14" s="1"/>
  <c r="W26" i="14" s="1"/>
  <c r="X26" i="14" s="1"/>
  <c r="T32" i="14"/>
  <c r="V32" i="14" s="1"/>
  <c r="W32" i="14" s="1"/>
  <c r="X32" i="14" s="1"/>
  <c r="T100" i="14"/>
  <c r="V100" i="14" s="1"/>
  <c r="W100" i="14" s="1"/>
  <c r="X100" i="14" s="1"/>
  <c r="T106" i="14"/>
  <c r="V106" i="14" s="1"/>
  <c r="W106" i="14" s="1"/>
  <c r="X106" i="14" s="1"/>
  <c r="T22" i="14"/>
  <c r="V22" i="14" s="1"/>
  <c r="W22" i="14" s="1"/>
  <c r="X22" i="14" s="1"/>
  <c r="T37" i="14"/>
  <c r="V37" i="14" s="1"/>
  <c r="W37" i="14" s="1"/>
  <c r="X37" i="14" s="1"/>
  <c r="W21" i="14"/>
  <c r="X21" i="14" s="1"/>
  <c r="H108" i="14"/>
  <c r="W101" i="14"/>
  <c r="X101" i="14" s="1"/>
  <c r="W7" i="14"/>
  <c r="X7" i="14" s="1"/>
  <c r="B214" i="13"/>
  <c r="B215" i="13"/>
  <c r="J208" i="13"/>
  <c r="K208" i="13"/>
  <c r="O208" i="13" s="1"/>
  <c r="L208" i="13"/>
  <c r="T208" i="13" s="1"/>
  <c r="H206" i="13"/>
  <c r="H205" i="13"/>
  <c r="H204" i="13"/>
  <c r="H203" i="13"/>
  <c r="H202" i="13"/>
  <c r="H201" i="13"/>
  <c r="H200" i="13"/>
  <c r="H199" i="13"/>
  <c r="H198" i="13"/>
  <c r="H197" i="13"/>
  <c r="H196" i="13"/>
  <c r="H195" i="13"/>
  <c r="H194" i="13"/>
  <c r="H193" i="13"/>
  <c r="H192" i="13"/>
  <c r="H191" i="13"/>
  <c r="H190" i="13"/>
  <c r="H189" i="13"/>
  <c r="H188" i="13"/>
  <c r="H186" i="13"/>
  <c r="H185" i="13"/>
  <c r="H184" i="13"/>
  <c r="H183" i="13"/>
  <c r="H182" i="13"/>
  <c r="H60" i="13"/>
  <c r="H59" i="13"/>
  <c r="H58" i="13"/>
  <c r="H57" i="13"/>
  <c r="H187" i="13"/>
  <c r="H8" i="13"/>
  <c r="H51" i="13"/>
  <c r="H52" i="13"/>
  <c r="H53" i="13"/>
  <c r="H54" i="13"/>
  <c r="H55" i="13"/>
  <c r="H56" i="13"/>
  <c r="T5" i="13"/>
  <c r="O5" i="13"/>
  <c r="X108" i="14" l="1"/>
  <c r="R58" i="13"/>
  <c r="S58" i="13" s="1"/>
  <c r="W58" i="13"/>
  <c r="X58" i="13" s="1"/>
  <c r="R188" i="13"/>
  <c r="S188" i="13" s="1"/>
  <c r="W188" i="13"/>
  <c r="X188" i="13" s="1"/>
  <c r="W204" i="13"/>
  <c r="X204" i="13" s="1"/>
  <c r="R204" i="13"/>
  <c r="S204" i="13" s="1"/>
  <c r="W54" i="13"/>
  <c r="X54" i="13" s="1"/>
  <c r="R54" i="13"/>
  <c r="S54" i="13" s="1"/>
  <c r="W59" i="13"/>
  <c r="X59" i="13" s="1"/>
  <c r="R59" i="13"/>
  <c r="S59" i="13" s="1"/>
  <c r="R189" i="13"/>
  <c r="S189" i="13" s="1"/>
  <c r="W189" i="13"/>
  <c r="X189" i="13" s="1"/>
  <c r="R197" i="13"/>
  <c r="S197" i="13" s="1"/>
  <c r="W197" i="13"/>
  <c r="X197" i="13" s="1"/>
  <c r="R205" i="13"/>
  <c r="S205" i="13" s="1"/>
  <c r="W205" i="13"/>
  <c r="X205" i="13" s="1"/>
  <c r="R55" i="13"/>
  <c r="S55" i="13" s="1"/>
  <c r="W55" i="13"/>
  <c r="X55" i="13" s="1"/>
  <c r="R196" i="13"/>
  <c r="S196" i="13" s="1"/>
  <c r="W196" i="13"/>
  <c r="X196" i="13" s="1"/>
  <c r="W53" i="13"/>
  <c r="X53" i="13" s="1"/>
  <c r="R53" i="13"/>
  <c r="S53" i="13" s="1"/>
  <c r="W60" i="13"/>
  <c r="X60" i="13" s="1"/>
  <c r="R60" i="13"/>
  <c r="S60" i="13" s="1"/>
  <c r="W190" i="13"/>
  <c r="X190" i="13" s="1"/>
  <c r="R190" i="13"/>
  <c r="S190" i="13" s="1"/>
  <c r="W198" i="13"/>
  <c r="X198" i="13" s="1"/>
  <c r="R198" i="13"/>
  <c r="S198" i="13" s="1"/>
  <c r="R206" i="13"/>
  <c r="S206" i="13" s="1"/>
  <c r="W206" i="13"/>
  <c r="X206" i="13" s="1"/>
  <c r="R191" i="13"/>
  <c r="S191" i="13" s="1"/>
  <c r="W191" i="13"/>
  <c r="X191" i="13" s="1"/>
  <c r="W51" i="13"/>
  <c r="X51" i="13" s="1"/>
  <c r="R51" i="13"/>
  <c r="S51" i="13" s="1"/>
  <c r="W183" i="13"/>
  <c r="X183" i="13" s="1"/>
  <c r="R183" i="13"/>
  <c r="S183" i="13" s="1"/>
  <c r="R192" i="13"/>
  <c r="S192" i="13" s="1"/>
  <c r="W192" i="13"/>
  <c r="X192" i="13" s="1"/>
  <c r="W200" i="13"/>
  <c r="X200" i="13" s="1"/>
  <c r="R200" i="13"/>
  <c r="S200" i="13" s="1"/>
  <c r="R182" i="13"/>
  <c r="S182" i="13" s="1"/>
  <c r="W182" i="13"/>
  <c r="X182" i="13" s="1"/>
  <c r="R8" i="13"/>
  <c r="W8" i="13"/>
  <c r="W184" i="13"/>
  <c r="X184" i="13" s="1"/>
  <c r="R184" i="13"/>
  <c r="S184" i="13" s="1"/>
  <c r="R193" i="13"/>
  <c r="S193" i="13" s="1"/>
  <c r="W193" i="13"/>
  <c r="X193" i="13" s="1"/>
  <c r="R201" i="13"/>
  <c r="S201" i="13" s="1"/>
  <c r="W201" i="13"/>
  <c r="X201" i="13" s="1"/>
  <c r="R187" i="13"/>
  <c r="S187" i="13" s="1"/>
  <c r="W187" i="13"/>
  <c r="X187" i="13" s="1"/>
  <c r="R185" i="13"/>
  <c r="S185" i="13" s="1"/>
  <c r="W185" i="13"/>
  <c r="X185" i="13" s="1"/>
  <c r="W194" i="13"/>
  <c r="X194" i="13" s="1"/>
  <c r="R194" i="13"/>
  <c r="S194" i="13" s="1"/>
  <c r="R202" i="13"/>
  <c r="S202" i="13" s="1"/>
  <c r="W202" i="13"/>
  <c r="X202" i="13" s="1"/>
  <c r="W52" i="13"/>
  <c r="X52" i="13" s="1"/>
  <c r="R52" i="13"/>
  <c r="S52" i="13" s="1"/>
  <c r="W199" i="13"/>
  <c r="X199" i="13" s="1"/>
  <c r="R199" i="13"/>
  <c r="S199" i="13" s="1"/>
  <c r="R56" i="13"/>
  <c r="S56" i="13" s="1"/>
  <c r="W56" i="13"/>
  <c r="X56" i="13" s="1"/>
  <c r="W57" i="13"/>
  <c r="X57" i="13" s="1"/>
  <c r="R57" i="13"/>
  <c r="S57" i="13" s="1"/>
  <c r="R186" i="13"/>
  <c r="S186" i="13" s="1"/>
  <c r="W186" i="13"/>
  <c r="X186" i="13" s="1"/>
  <c r="W195" i="13"/>
  <c r="X195" i="13" s="1"/>
  <c r="R195" i="13"/>
  <c r="S195" i="13" s="1"/>
  <c r="R203" i="13"/>
  <c r="S203" i="13" s="1"/>
  <c r="W203" i="13"/>
  <c r="X203" i="13" s="1"/>
  <c r="Q7" i="14"/>
  <c r="R7" i="14" s="1"/>
  <c r="S7" i="14" s="1"/>
  <c r="Q37" i="14"/>
  <c r="R37" i="14" s="1"/>
  <c r="S37" i="14" s="1"/>
  <c r="Q32" i="14"/>
  <c r="R32" i="14" s="1"/>
  <c r="S32" i="14" s="1"/>
  <c r="Q22" i="14"/>
  <c r="R22" i="14" s="1"/>
  <c r="S22" i="14" s="1"/>
  <c r="Q100" i="14"/>
  <c r="R100" i="14" s="1"/>
  <c r="S100" i="14" s="1"/>
  <c r="Q26" i="14"/>
  <c r="R26" i="14" s="1"/>
  <c r="S26" i="14" s="1"/>
  <c r="Q13" i="14"/>
  <c r="R13" i="14" s="1"/>
  <c r="S13" i="14" s="1"/>
  <c r="Q36" i="14"/>
  <c r="R36" i="14" s="1"/>
  <c r="S36" i="14" s="1"/>
  <c r="Q24" i="14"/>
  <c r="R24" i="14" s="1"/>
  <c r="S24" i="14" s="1"/>
  <c r="Q35" i="14"/>
  <c r="R35" i="14" s="1"/>
  <c r="S35" i="14" s="1"/>
  <c r="Q23" i="14"/>
  <c r="R23" i="14" s="1"/>
  <c r="S23" i="14" s="1"/>
  <c r="Q10" i="14"/>
  <c r="R10" i="14" s="1"/>
  <c r="S10" i="14" s="1"/>
  <c r="Q31" i="14"/>
  <c r="R31" i="14" s="1"/>
  <c r="S31" i="14" s="1"/>
  <c r="Q101" i="14"/>
  <c r="R101" i="14" s="1"/>
  <c r="S101" i="14" s="1"/>
  <c r="Q27" i="14"/>
  <c r="R27" i="14" s="1"/>
  <c r="S27" i="14" s="1"/>
  <c r="Q106" i="14"/>
  <c r="R106" i="14" s="1"/>
  <c r="S106" i="14" s="1"/>
  <c r="Q28" i="14"/>
  <c r="R28" i="14" s="1"/>
  <c r="S28" i="14" s="1"/>
  <c r="Q103" i="14"/>
  <c r="R103" i="14" s="1"/>
  <c r="S103" i="14" s="1"/>
  <c r="Q102" i="14"/>
  <c r="R102" i="14" s="1"/>
  <c r="S102" i="14" s="1"/>
  <c r="Q16" i="14"/>
  <c r="R16" i="14" s="1"/>
  <c r="S16" i="14" s="1"/>
  <c r="Q25" i="14"/>
  <c r="R25" i="14" s="1"/>
  <c r="S25" i="14" s="1"/>
  <c r="Q105" i="14"/>
  <c r="R105" i="14" s="1"/>
  <c r="S105" i="14" s="1"/>
  <c r="Q19" i="14"/>
  <c r="R19" i="14" s="1"/>
  <c r="S19" i="14" s="1"/>
  <c r="Q20" i="14"/>
  <c r="R20" i="14" s="1"/>
  <c r="S20" i="14" s="1"/>
  <c r="Q14" i="14"/>
  <c r="R14" i="14" s="1"/>
  <c r="S14" i="14" s="1"/>
  <c r="Q104" i="14"/>
  <c r="R104" i="14" s="1"/>
  <c r="S104" i="14" s="1"/>
  <c r="Q30" i="14"/>
  <c r="R30" i="14" s="1"/>
  <c r="S30" i="14" s="1"/>
  <c r="Q18" i="14"/>
  <c r="R18" i="14" s="1"/>
  <c r="S18" i="14" s="1"/>
  <c r="Q11" i="14"/>
  <c r="R11" i="14" s="1"/>
  <c r="S11" i="14" s="1"/>
  <c r="Q33" i="14"/>
  <c r="R33" i="14" s="1"/>
  <c r="S33" i="14" s="1"/>
  <c r="Q21" i="14"/>
  <c r="R21" i="14" s="1"/>
  <c r="S21" i="14" s="1"/>
  <c r="Q9" i="14"/>
  <c r="R9" i="14" s="1"/>
  <c r="S9" i="14" s="1"/>
  <c r="Q8" i="14"/>
  <c r="R8" i="14" s="1"/>
  <c r="S8" i="14" s="1"/>
  <c r="D112" i="14"/>
  <c r="W108" i="14"/>
  <c r="V108" i="14" s="1"/>
  <c r="D215" i="13"/>
  <c r="D213" i="13"/>
  <c r="G8" i="1"/>
  <c r="S108" i="14" l="1"/>
  <c r="D116" i="14" s="1"/>
  <c r="C135" i="14" s="1"/>
  <c r="R108" i="14"/>
  <c r="C24" i="12"/>
  <c r="H22" i="12"/>
  <c r="J22" i="12" s="1"/>
  <c r="C25" i="12"/>
  <c r="C26" i="12"/>
  <c r="H23" i="12"/>
  <c r="I23" i="12" s="1"/>
  <c r="C27" i="12"/>
  <c r="C28" i="12"/>
  <c r="C23" i="12"/>
  <c r="H13" i="12"/>
  <c r="D13" i="12" s="1"/>
  <c r="H11" i="12"/>
  <c r="D11" i="12" s="1"/>
  <c r="G10" i="1"/>
  <c r="G9" i="1"/>
  <c r="Q108" i="14" l="1"/>
  <c r="D113" i="14"/>
  <c r="G14" i="1"/>
  <c r="C14" i="1" s="1"/>
  <c r="J23" i="12"/>
  <c r="J24" i="12" s="1"/>
  <c r="I22" i="12"/>
  <c r="I24" i="12" s="1"/>
  <c r="G43" i="7"/>
  <c r="L43" i="7" s="1"/>
  <c r="G44" i="7"/>
  <c r="L44" i="7" s="1"/>
  <c r="G45" i="7"/>
  <c r="K45" i="7" s="1"/>
  <c r="G46" i="7"/>
  <c r="K46" i="7" s="1"/>
  <c r="G36" i="7"/>
  <c r="K36" i="7" s="1"/>
  <c r="E45" i="4" l="1"/>
  <c r="E123" i="14"/>
  <c r="E51" i="4"/>
  <c r="H51" i="4" s="1"/>
  <c r="N10" i="13"/>
  <c r="N14" i="13"/>
  <c r="N18" i="13"/>
  <c r="N22" i="13"/>
  <c r="N26" i="13"/>
  <c r="N30" i="13"/>
  <c r="N35" i="13"/>
  <c r="N39" i="13"/>
  <c r="N9" i="13"/>
  <c r="N13" i="13"/>
  <c r="N17" i="13"/>
  <c r="N21" i="13"/>
  <c r="N25" i="13"/>
  <c r="N29" i="13"/>
  <c r="N34" i="13"/>
  <c r="N38" i="13"/>
  <c r="N42" i="13"/>
  <c r="N8" i="13"/>
  <c r="N12" i="13"/>
  <c r="N16" i="13"/>
  <c r="N20" i="13"/>
  <c r="N24" i="13"/>
  <c r="N28" i="13"/>
  <c r="N33" i="13"/>
  <c r="N37" i="13"/>
  <c r="N41" i="13"/>
  <c r="N7" i="13"/>
  <c r="N11" i="13"/>
  <c r="N15" i="13"/>
  <c r="N19" i="13"/>
  <c r="N23" i="13"/>
  <c r="N27" i="13"/>
  <c r="N31" i="13"/>
  <c r="N32" i="13"/>
  <c r="N36" i="13"/>
  <c r="N40" i="13"/>
  <c r="G7" i="7"/>
  <c r="H7" i="7" s="1"/>
  <c r="L7" i="7" s="1"/>
  <c r="C11" i="23"/>
  <c r="G33" i="22"/>
  <c r="E33" i="22"/>
  <c r="D115" i="14"/>
  <c r="G97" i="4"/>
  <c r="K37" i="1"/>
  <c r="K41" i="1"/>
  <c r="K45" i="1"/>
  <c r="K38" i="1"/>
  <c r="K36" i="1"/>
  <c r="K39" i="1"/>
  <c r="K43" i="1"/>
  <c r="K40" i="1"/>
  <c r="K44" i="1"/>
  <c r="K42" i="1"/>
  <c r="G22" i="7"/>
  <c r="H22" i="7" s="1"/>
  <c r="L22" i="7" s="1"/>
  <c r="G18" i="7"/>
  <c r="N18" i="7" s="1"/>
  <c r="G14" i="7"/>
  <c r="H14" i="7" s="1"/>
  <c r="I14" i="7" s="1"/>
  <c r="G10" i="7"/>
  <c r="N10" i="7" s="1"/>
  <c r="G25" i="7"/>
  <c r="H25" i="7" s="1"/>
  <c r="I25" i="7" s="1"/>
  <c r="G21" i="7"/>
  <c r="H21" i="7" s="1"/>
  <c r="I21" i="7" s="1"/>
  <c r="G17" i="7"/>
  <c r="H17" i="7" s="1"/>
  <c r="I17" i="7" s="1"/>
  <c r="G13" i="7"/>
  <c r="H13" i="7" s="1"/>
  <c r="I13" i="7" s="1"/>
  <c r="G9" i="7"/>
  <c r="H9" i="7" s="1"/>
  <c r="I9" i="7" s="1"/>
  <c r="G24" i="7"/>
  <c r="N24" i="7" s="1"/>
  <c r="G20" i="7"/>
  <c r="H20" i="7" s="1"/>
  <c r="I20" i="7" s="1"/>
  <c r="G16" i="7"/>
  <c r="H16" i="7" s="1"/>
  <c r="L16" i="7" s="1"/>
  <c r="G12" i="7"/>
  <c r="H12" i="7" s="1"/>
  <c r="L12" i="7" s="1"/>
  <c r="G8" i="7"/>
  <c r="H8" i="7" s="1"/>
  <c r="I8" i="7" s="1"/>
  <c r="G23" i="7"/>
  <c r="H23" i="7" s="1"/>
  <c r="L23" i="7" s="1"/>
  <c r="G19" i="7"/>
  <c r="N19" i="7" s="1"/>
  <c r="G15" i="7"/>
  <c r="H15" i="7" s="1"/>
  <c r="L15" i="7" s="1"/>
  <c r="G11" i="7"/>
  <c r="H11" i="7" s="1"/>
  <c r="L11" i="7" s="1"/>
  <c r="I25" i="12"/>
  <c r="J25" i="12"/>
  <c r="K44" i="7"/>
  <c r="L45" i="7"/>
  <c r="K43" i="7"/>
  <c r="L46" i="7"/>
  <c r="L36" i="7"/>
  <c r="C47" i="8"/>
  <c r="C41" i="8"/>
  <c r="K10" i="8"/>
  <c r="I28" i="8"/>
  <c r="G28" i="8"/>
  <c r="I22" i="8"/>
  <c r="G22" i="8"/>
  <c r="I16" i="8"/>
  <c r="G16" i="8"/>
  <c r="I10" i="8"/>
  <c r="I56" i="8"/>
  <c r="G10" i="8"/>
  <c r="K51" i="4" l="1"/>
  <c r="H123" i="14"/>
  <c r="H125" i="14" s="1"/>
  <c r="D134" i="14" s="1"/>
  <c r="K123" i="14"/>
  <c r="K125" i="14" s="1"/>
  <c r="C134" i="14" s="1"/>
  <c r="C138" i="14" s="1"/>
  <c r="H45" i="4"/>
  <c r="H85" i="4" s="1"/>
  <c r="F86" i="4" s="1"/>
  <c r="K45" i="4"/>
  <c r="K85" i="4" s="1"/>
  <c r="J86" i="4" s="1"/>
  <c r="U23" i="13"/>
  <c r="P23" i="13"/>
  <c r="X23" i="13"/>
  <c r="S23" i="13"/>
  <c r="U12" i="13"/>
  <c r="P12" i="13"/>
  <c r="X12" i="13"/>
  <c r="S12" i="13"/>
  <c r="U17" i="13"/>
  <c r="P17" i="13"/>
  <c r="X17" i="13"/>
  <c r="S17" i="13"/>
  <c r="P18" i="13"/>
  <c r="U18" i="13"/>
  <c r="S18" i="13"/>
  <c r="X18" i="13"/>
  <c r="P19" i="13"/>
  <c r="U19" i="13"/>
  <c r="X19" i="13"/>
  <c r="S19" i="13"/>
  <c r="U24" i="13"/>
  <c r="P24" i="13"/>
  <c r="X24" i="13"/>
  <c r="S24" i="13"/>
  <c r="P29" i="13"/>
  <c r="U29" i="13"/>
  <c r="X29" i="13"/>
  <c r="S29" i="13"/>
  <c r="P30" i="13"/>
  <c r="U30" i="13"/>
  <c r="S30" i="13"/>
  <c r="X30" i="13"/>
  <c r="U31" i="13"/>
  <c r="P31" i="13"/>
  <c r="S31" i="13"/>
  <c r="X31" i="13"/>
  <c r="U15" i="13"/>
  <c r="P15" i="13"/>
  <c r="X15" i="13"/>
  <c r="S15" i="13"/>
  <c r="U37" i="13"/>
  <c r="P37" i="13"/>
  <c r="S37" i="13"/>
  <c r="X37" i="13"/>
  <c r="U20" i="13"/>
  <c r="P20" i="13"/>
  <c r="S20" i="13"/>
  <c r="X20" i="13"/>
  <c r="U42" i="13"/>
  <c r="P42" i="13"/>
  <c r="S42" i="13"/>
  <c r="X42" i="13"/>
  <c r="P25" i="13"/>
  <c r="U25" i="13"/>
  <c r="S25" i="13"/>
  <c r="X25" i="13"/>
  <c r="P9" i="13"/>
  <c r="U9" i="13"/>
  <c r="S9" i="13"/>
  <c r="X9" i="13"/>
  <c r="U26" i="13"/>
  <c r="P26" i="13"/>
  <c r="S26" i="13"/>
  <c r="X26" i="13"/>
  <c r="U10" i="13"/>
  <c r="P10" i="13"/>
  <c r="S10" i="13"/>
  <c r="X10" i="13"/>
  <c r="U36" i="13"/>
  <c r="P36" i="13"/>
  <c r="X36" i="13"/>
  <c r="S36" i="13"/>
  <c r="P7" i="13"/>
  <c r="U7" i="13"/>
  <c r="U28" i="13"/>
  <c r="P28" i="13"/>
  <c r="S28" i="13"/>
  <c r="X28" i="13"/>
  <c r="P34" i="13"/>
  <c r="U34" i="13"/>
  <c r="X34" i="13"/>
  <c r="S34" i="13"/>
  <c r="P35" i="13"/>
  <c r="U35" i="13"/>
  <c r="S35" i="13"/>
  <c r="X35" i="13"/>
  <c r="U32" i="13"/>
  <c r="P32" i="13"/>
  <c r="S32" i="13"/>
  <c r="X32" i="13"/>
  <c r="P41" i="13"/>
  <c r="U41" i="13"/>
  <c r="X41" i="13"/>
  <c r="S41" i="13"/>
  <c r="U8" i="13"/>
  <c r="P8" i="13"/>
  <c r="S8" i="13"/>
  <c r="X8" i="13"/>
  <c r="P13" i="13"/>
  <c r="U13" i="13"/>
  <c r="S13" i="13"/>
  <c r="X13" i="13"/>
  <c r="P14" i="13"/>
  <c r="U14" i="13"/>
  <c r="S14" i="13"/>
  <c r="X14" i="13"/>
  <c r="U40" i="13"/>
  <c r="P40" i="13"/>
  <c r="X40" i="13"/>
  <c r="S40" i="13"/>
  <c r="U27" i="13"/>
  <c r="P27" i="13"/>
  <c r="S27" i="13"/>
  <c r="X27" i="13"/>
  <c r="U11" i="13"/>
  <c r="P11" i="13"/>
  <c r="S11" i="13"/>
  <c r="X11" i="13"/>
  <c r="P33" i="13"/>
  <c r="U33" i="13"/>
  <c r="X33" i="13"/>
  <c r="S33" i="13"/>
  <c r="U16" i="13"/>
  <c r="P16" i="13"/>
  <c r="X16" i="13"/>
  <c r="S16" i="13"/>
  <c r="P38" i="13"/>
  <c r="U38" i="13"/>
  <c r="S38" i="13"/>
  <c r="X38" i="13"/>
  <c r="P21" i="13"/>
  <c r="U21" i="13"/>
  <c r="X21" i="13"/>
  <c r="S21" i="13"/>
  <c r="P39" i="13"/>
  <c r="U39" i="13"/>
  <c r="S39" i="13"/>
  <c r="X39" i="13"/>
  <c r="U22" i="13"/>
  <c r="P22" i="13"/>
  <c r="X22" i="13"/>
  <c r="S22" i="13"/>
  <c r="H10" i="7"/>
  <c r="I10" i="7" s="1"/>
  <c r="E135" i="14"/>
  <c r="H24" i="7"/>
  <c r="I24" i="7" s="1"/>
  <c r="H19" i="7"/>
  <c r="L19" i="7" s="1"/>
  <c r="N16" i="7"/>
  <c r="N13" i="7"/>
  <c r="N8" i="7"/>
  <c r="N11" i="7"/>
  <c r="N12" i="7"/>
  <c r="N20" i="7"/>
  <c r="N14" i="7"/>
  <c r="N21" i="7"/>
  <c r="H18" i="7"/>
  <c r="I18" i="7" s="1"/>
  <c r="N15" i="7"/>
  <c r="N23" i="7"/>
  <c r="N17" i="7"/>
  <c r="N25" i="7"/>
  <c r="N7" i="7"/>
  <c r="N22" i="7"/>
  <c r="N9" i="7"/>
  <c r="J26" i="12"/>
  <c r="C17" i="2" s="1"/>
  <c r="K52" i="7"/>
  <c r="E54" i="7" s="1"/>
  <c r="I16" i="7"/>
  <c r="L52" i="7"/>
  <c r="I23" i="7"/>
  <c r="L20" i="7"/>
  <c r="I22" i="7"/>
  <c r="O22" i="7" s="1"/>
  <c r="Q22" i="7" s="1"/>
  <c r="I12" i="7"/>
  <c r="L13" i="7"/>
  <c r="I15" i="7"/>
  <c r="L17" i="7"/>
  <c r="L14" i="7"/>
  <c r="I7" i="7"/>
  <c r="L25" i="7"/>
  <c r="L21" i="7"/>
  <c r="L9" i="7"/>
  <c r="I11" i="7"/>
  <c r="L8" i="7"/>
  <c r="H7" i="13"/>
  <c r="I54" i="10"/>
  <c r="D15" i="2" s="1"/>
  <c r="J54" i="10"/>
  <c r="C15" i="2" s="1"/>
  <c r="D13" i="2"/>
  <c r="C5" i="8"/>
  <c r="C35" i="8"/>
  <c r="C29" i="8"/>
  <c r="C23" i="8"/>
  <c r="C17" i="8"/>
  <c r="C11" i="8"/>
  <c r="E134" i="14" l="1"/>
  <c r="O7" i="7"/>
  <c r="Q7" i="7" s="1"/>
  <c r="L24" i="7"/>
  <c r="O24" i="7" s="1"/>
  <c r="Q24" i="7" s="1"/>
  <c r="U208" i="13"/>
  <c r="D218" i="13" s="1"/>
  <c r="L10" i="7"/>
  <c r="O10" i="7" s="1"/>
  <c r="Q10" i="7" s="1"/>
  <c r="P208" i="13"/>
  <c r="W7" i="13"/>
  <c r="X7" i="13" s="1"/>
  <c r="X208" i="13" s="1"/>
  <c r="D217" i="13" s="1"/>
  <c r="R7" i="13"/>
  <c r="S7" i="13" s="1"/>
  <c r="S208" i="13" s="1"/>
  <c r="E15" i="2"/>
  <c r="O16" i="7"/>
  <c r="Q16" i="7" s="1"/>
  <c r="O21" i="7"/>
  <c r="Q21" i="7" s="1"/>
  <c r="O12" i="7"/>
  <c r="Q12" i="7" s="1"/>
  <c r="O15" i="7"/>
  <c r="Q15" i="7" s="1"/>
  <c r="O8" i="7"/>
  <c r="Q8" i="7" s="1"/>
  <c r="O9" i="7"/>
  <c r="Q9" i="7" s="1"/>
  <c r="L18" i="7"/>
  <c r="O18" i="7" s="1"/>
  <c r="Q18" i="7" s="1"/>
  <c r="O11" i="7"/>
  <c r="Q11" i="7" s="1"/>
  <c r="I19" i="7"/>
  <c r="O19" i="7" s="1"/>
  <c r="Q19" i="7" s="1"/>
  <c r="O25" i="7"/>
  <c r="Q25" i="7" s="1"/>
  <c r="O13" i="7"/>
  <c r="Q13" i="7" s="1"/>
  <c r="O14" i="7"/>
  <c r="Q14" i="7" s="1"/>
  <c r="O17" i="7"/>
  <c r="Q17" i="7" s="1"/>
  <c r="O20" i="7"/>
  <c r="Q20" i="7" s="1"/>
  <c r="O23" i="7"/>
  <c r="Q23" i="7" s="1"/>
  <c r="E55" i="7"/>
  <c r="H208" i="13"/>
  <c r="C51" i="8"/>
  <c r="C52" i="8" s="1"/>
  <c r="I55" i="8" s="1"/>
  <c r="C54" i="8" s="1"/>
  <c r="C55" i="8" s="1"/>
  <c r="C63" i="8" s="1"/>
  <c r="C10" i="2" l="1"/>
  <c r="D10" i="2"/>
  <c r="R208" i="13"/>
  <c r="Q208" i="13" s="1"/>
  <c r="D212" i="13"/>
  <c r="Q27" i="7"/>
  <c r="C56" i="8"/>
  <c r="D12" i="2"/>
  <c r="O27" i="7"/>
  <c r="W208" i="13"/>
  <c r="C65" i="8"/>
  <c r="D214" i="13" l="1"/>
  <c r="V208" i="13"/>
  <c r="E30" i="7"/>
  <c r="D11" i="2" s="1"/>
  <c r="E31" i="7"/>
  <c r="C11" i="2" s="1"/>
  <c r="C67" i="8"/>
  <c r="C12" i="2"/>
  <c r="E12" i="2" s="1"/>
  <c r="C8" i="2"/>
  <c r="E11" i="2" l="1"/>
  <c r="D216" i="13"/>
  <c r="E10" i="2"/>
  <c r="D27" i="12"/>
  <c r="D28" i="12"/>
  <c r="D23" i="12"/>
  <c r="D26" i="12"/>
  <c r="D25" i="12"/>
  <c r="D24" i="12"/>
  <c r="C22" i="12"/>
  <c r="D22" i="12" s="1"/>
  <c r="H14" i="12"/>
  <c r="D14" i="12" s="1"/>
  <c r="H12" i="12"/>
  <c r="D12" i="12" s="1"/>
  <c r="H10" i="12"/>
  <c r="D10" i="12" s="1"/>
  <c r="D9" i="12"/>
  <c r="H8" i="12"/>
  <c r="D8" i="12" s="1"/>
  <c r="C85" i="4" l="1"/>
  <c r="D33" i="12"/>
  <c r="D29" i="12"/>
  <c r="D30" i="12" s="1"/>
  <c r="G85" i="4" l="1"/>
  <c r="G151" i="4"/>
  <c r="D9" i="2" s="1"/>
  <c r="F151" i="4"/>
  <c r="J85" i="4" l="1"/>
  <c r="C9" i="2" s="1"/>
  <c r="E9" i="2" s="1"/>
  <c r="I85" i="4" l="1"/>
  <c r="F88" i="4"/>
  <c r="C18" i="2"/>
  <c r="F89" i="4" l="1"/>
  <c r="D72" i="1" s="1"/>
  <c r="D74" i="1"/>
  <c r="D34" i="12" l="1"/>
  <c r="D136" i="14" s="1"/>
  <c r="D138" i="14" s="1"/>
  <c r="D140" i="14" s="1"/>
  <c r="D141" i="14" s="1"/>
  <c r="D142" i="14" s="1"/>
  <c r="D8" i="2"/>
  <c r="D31" i="12"/>
  <c r="D16" i="2" s="1"/>
  <c r="I26" i="12"/>
  <c r="D17" i="2" s="1"/>
  <c r="E17" i="2" s="1"/>
  <c r="D71" i="1" l="1"/>
  <c r="D18" i="2"/>
  <c r="E8" i="2"/>
  <c r="C65" i="1"/>
  <c r="F10" i="2" l="1"/>
  <c r="F16" i="2"/>
  <c r="F12" i="2"/>
  <c r="F15" i="2"/>
  <c r="F13" i="2"/>
  <c r="D20" i="2"/>
  <c r="D21" i="2" s="1"/>
  <c r="F9" i="2"/>
  <c r="F8" i="2"/>
  <c r="C64" i="1"/>
  <c r="F14" i="2"/>
  <c r="F17" i="2"/>
  <c r="F11" i="2"/>
  <c r="D73" i="1"/>
  <c r="F21" i="2" l="1"/>
  <c r="D22" i="2"/>
  <c r="D75" i="1" s="1"/>
  <c r="D76" i="1"/>
</calcChain>
</file>

<file path=xl/comments1.xml><?xml version="1.0" encoding="utf-8"?>
<comments xmlns="http://schemas.openxmlformats.org/spreadsheetml/2006/main">
  <authors>
    <author>Soo Cheng CHAN (BCA)</author>
  </authors>
  <commentList>
    <comment ref="H7" authorId="0" shapeId="0">
      <text>
        <r>
          <rPr>
            <b/>
            <sz val="9"/>
            <color indexed="81"/>
            <rFont val="Tahoma"/>
            <family val="2"/>
          </rPr>
          <t xml:space="preserve"> (BCA):</t>
        </r>
        <r>
          <rPr>
            <sz val="9"/>
            <color indexed="81"/>
            <rFont val="Tahoma"/>
            <family val="2"/>
          </rPr>
          <t xml:space="preserve">
Please check all areas inputs within 5% tolerance of GFA summation.</t>
        </r>
      </text>
    </comment>
    <comment ref="F14" authorId="0" shapeId="0">
      <text>
        <r>
          <rPr>
            <b/>
            <sz val="9"/>
            <color indexed="81"/>
            <rFont val="Tahoma"/>
            <family val="2"/>
          </rPr>
          <t xml:space="preserve">(BCA):Or Total, if the building is not of mixed use type
</t>
        </r>
        <r>
          <rPr>
            <sz val="9"/>
            <color indexed="81"/>
            <rFont val="Tahoma"/>
            <family val="2"/>
          </rPr>
          <t xml:space="preserve">
</t>
        </r>
      </text>
    </comment>
    <comment ref="D22" authorId="0" shapeId="0">
      <text>
        <r>
          <rPr>
            <b/>
            <sz val="9"/>
            <color indexed="81"/>
            <rFont val="Tahoma"/>
            <family val="2"/>
          </rPr>
          <t>(BCA):</t>
        </r>
        <r>
          <rPr>
            <sz val="9"/>
            <color indexed="81"/>
            <rFont val="Tahoma"/>
            <family val="2"/>
          </rPr>
          <t xml:space="preserve">
Mode of ventilation to based on majority (i.e. &gt;50%)</t>
        </r>
      </text>
    </comment>
  </commentList>
</comments>
</file>

<file path=xl/comments2.xml><?xml version="1.0" encoding="utf-8"?>
<comments xmlns="http://schemas.openxmlformats.org/spreadsheetml/2006/main">
  <authors>
    <author>Soo Cheng CHAN (BCA)</author>
  </authors>
  <commentList>
    <comment ref="K41" authorId="0" shapeId="0">
      <text>
        <r>
          <rPr>
            <b/>
            <sz val="9"/>
            <color indexed="81"/>
            <rFont val="Tahoma"/>
            <family val="2"/>
          </rPr>
          <t xml:space="preserve">(BCA):*Note:The total hourly motor input power is based on aggregate of all constant  flow fans operating at this hour. </t>
        </r>
      </text>
    </comment>
    <comment ref="L41" authorId="0" shapeId="0">
      <text>
        <r>
          <rPr>
            <b/>
            <sz val="9"/>
            <color indexed="81"/>
            <rFont val="Tahoma"/>
            <family val="2"/>
          </rPr>
          <t xml:space="preserve">
(BCA): *Note: The total hourly motor input power is based on aggregate of all  variable flow fans operating at this hour. For Variable Fan flow, Part load fan power calculator may be referenced from ASHRAE 90.1, Table G3.1.3.15, Part-Load Performance for VAV Fan Systems or Part-Load Fan Power Equation can be applied</t>
        </r>
      </text>
    </comment>
    <comment ref="M41" authorId="0" shapeId="0">
      <text>
        <r>
          <rPr>
            <b/>
            <sz val="9"/>
            <color indexed="81"/>
            <rFont val="Tahoma"/>
            <family val="2"/>
          </rPr>
          <t>(BCA): *Note: The total hourly motor input power is based on aggregate of all   fans operating at this hour. For Variable Fan flow, Part load fan power calculator may be referenced from ASHRAE 90.1, Table G3.1.3.15, Part-Load Performance for VAV Fan Systems or Part-Load Fan Power Equation can be applied</t>
        </r>
        <r>
          <rPr>
            <sz val="9"/>
            <color indexed="81"/>
            <rFont val="Tahoma"/>
            <family val="2"/>
          </rPr>
          <t xml:space="preserve">
</t>
        </r>
      </text>
    </comment>
    <comment ref="J42" authorId="0" shapeId="0">
      <text>
        <r>
          <rPr>
            <b/>
            <sz val="9"/>
            <color indexed="81"/>
            <rFont val="Tahoma"/>
            <family val="2"/>
          </rPr>
          <t xml:space="preserve"> (BCA):
Ignore inputs for cell D40 to J63 if proejct is using chilled water supply from a DCS plant.</t>
        </r>
      </text>
    </comment>
    <comment ref="I85" authorId="0" shapeId="0">
      <text>
        <r>
          <rPr>
            <b/>
            <sz val="9"/>
            <color indexed="81"/>
            <rFont val="Tahoma"/>
            <family val="2"/>
          </rPr>
          <t xml:space="preserve">(BCA): *Note: The total hourly motor input power is based on aggregate of all  constant flow fans operating at this hour. </t>
        </r>
        <r>
          <rPr>
            <sz val="9"/>
            <color indexed="81"/>
            <rFont val="Tahoma"/>
            <family val="2"/>
          </rPr>
          <t xml:space="preserve">
</t>
        </r>
      </text>
    </comment>
    <comment ref="J85" authorId="0" shapeId="0">
      <text>
        <r>
          <rPr>
            <b/>
            <sz val="9"/>
            <color indexed="81"/>
            <rFont val="Tahoma"/>
            <family val="2"/>
          </rPr>
          <t xml:space="preserve">
(BCA): *Note: The total hourly motor input power is based on aggregate of all  variable flow fans operating at this hour. For Variable Fan flow, Part load fan power calculator may be referenced from ASHRAE 90.1, Table G3.1.3.15, Part-Load Performance for VAV Fan Systems or Part-Load Fan Power Equation can be applied</t>
        </r>
      </text>
    </comment>
    <comment ref="K85" authorId="0" shapeId="0">
      <text>
        <r>
          <rPr>
            <b/>
            <sz val="9"/>
            <color indexed="81"/>
            <rFont val="Tahoma"/>
            <family val="2"/>
          </rPr>
          <t>(BCA): *Note: The total hourly motor input power is based on aggregate of all   fans operating at this hour. For Variable Fan flow, Part load fan power calculator may be referenced from ASHRAE 90.1, Table G3.1.3.15, Part-Load Performance for VAV Fan Systems or Part-Load Fan Power Equation can be applied</t>
        </r>
        <r>
          <rPr>
            <sz val="9"/>
            <color indexed="81"/>
            <rFont val="Tahoma"/>
            <family val="2"/>
          </rPr>
          <t xml:space="preserve">
</t>
        </r>
      </text>
    </comment>
    <comment ref="C129" authorId="0" shapeId="0">
      <text>
        <r>
          <rPr>
            <b/>
            <sz val="9"/>
            <color indexed="81"/>
            <rFont val="Tahoma"/>
            <family val="2"/>
          </rPr>
          <t>(BCA): Please choose from drop-down list whether input is based on hourly cooling or weighted cooling</t>
        </r>
        <r>
          <rPr>
            <sz val="9"/>
            <color indexed="81"/>
            <rFont val="Tahoma"/>
            <family val="2"/>
          </rPr>
          <t xml:space="preserve">
</t>
        </r>
      </text>
    </comment>
    <comment ref="D129" authorId="0" shapeId="0">
      <text>
        <r>
          <rPr>
            <b/>
            <sz val="9"/>
            <color indexed="81"/>
            <rFont val="Tahoma"/>
            <family val="2"/>
          </rPr>
          <t>(BCA): Unitary systems will be based on each system's weighted COP  (0.4 x COP@100% + 0.6 x COP@50%). 
The total weighted COP is a product of all the condensing units in the project, and their simulated weighted operational load. (excluding standby units)</t>
        </r>
        <r>
          <rPr>
            <sz val="9"/>
            <color indexed="81"/>
            <rFont val="Tahoma"/>
            <family val="2"/>
          </rPr>
          <t xml:space="preserve">
</t>
        </r>
      </text>
    </comment>
    <comment ref="H129" authorId="0" shapeId="0">
      <text>
        <r>
          <rPr>
            <b/>
            <sz val="9"/>
            <color indexed="81"/>
            <rFont val="Tahoma"/>
            <family val="2"/>
          </rPr>
          <t xml:space="preserve">(BCA): *Note: Total hourly motor input power based on simulation, or motor nameplate power if simulation not available. Fan speed assumed to be at the high(est) level for FCUs
</t>
        </r>
        <r>
          <rPr>
            <sz val="9"/>
            <color indexed="81"/>
            <rFont val="Tahoma"/>
            <family val="2"/>
          </rPr>
          <t xml:space="preserve">
</t>
        </r>
      </text>
    </comment>
  </commentList>
</comments>
</file>

<file path=xl/comments3.xml><?xml version="1.0" encoding="utf-8"?>
<comments xmlns="http://schemas.openxmlformats.org/spreadsheetml/2006/main">
  <authors>
    <author>Soo Cheng CHAN (BCA)</author>
  </authors>
  <commentList>
    <comment ref="J6" authorId="0" shapeId="0">
      <text>
        <r>
          <rPr>
            <b/>
            <sz val="9"/>
            <color indexed="81"/>
            <rFont val="Tahoma"/>
            <family val="2"/>
          </rPr>
          <t xml:space="preserve">(BCA): Use Motor Power Rated , if details not available
</t>
        </r>
        <r>
          <rPr>
            <sz val="9"/>
            <color indexed="81"/>
            <rFont val="Tahoma"/>
            <family val="2"/>
          </rPr>
          <t xml:space="preserve">
</t>
        </r>
      </text>
    </comment>
    <comment ref="K6" authorId="0" shapeId="0">
      <text>
        <r>
          <rPr>
            <b/>
            <sz val="9"/>
            <color indexed="81"/>
            <rFont val="Tahoma"/>
            <family val="2"/>
          </rPr>
          <t>(BCA):</t>
        </r>
        <r>
          <rPr>
            <sz val="9"/>
            <color indexed="81"/>
            <rFont val="Tahoma"/>
            <family val="2"/>
          </rPr>
          <t xml:space="preserve">
Assume 5% of Motor Power , if details not available
</t>
        </r>
      </text>
    </comment>
    <comment ref="H35" authorId="0" shapeId="0">
      <text>
        <r>
          <rPr>
            <b/>
            <sz val="9"/>
            <color indexed="81"/>
            <rFont val="Tahoma"/>
            <family val="2"/>
          </rPr>
          <t>(BCA):
Manufacturer's info. Should not be less than 0.7</t>
        </r>
        <r>
          <rPr>
            <sz val="9"/>
            <color indexed="81"/>
            <rFont val="Tahoma"/>
            <family val="2"/>
          </rPr>
          <t xml:space="preserve">
</t>
        </r>
      </text>
    </comment>
  </commentList>
</comments>
</file>

<file path=xl/comments4.xml><?xml version="1.0" encoding="utf-8"?>
<comments xmlns="http://schemas.openxmlformats.org/spreadsheetml/2006/main">
  <authors>
    <author>Soo Cheng CHAN (BCA)</author>
  </authors>
  <commentList>
    <comment ref="E9" authorId="0" shapeId="0">
      <text>
        <r>
          <rPr>
            <b/>
            <sz val="9"/>
            <color indexed="81"/>
            <rFont val="Tahoma"/>
            <family val="2"/>
          </rPr>
          <t>(BCA): Flowrate as per PUB's WELS rating</t>
        </r>
        <r>
          <rPr>
            <sz val="9"/>
            <color indexed="81"/>
            <rFont val="Tahoma"/>
            <family val="2"/>
          </rPr>
          <t xml:space="preserve">
</t>
        </r>
      </text>
    </comment>
    <comment ref="C10" authorId="0" shapeId="0">
      <text>
        <r>
          <rPr>
            <b/>
            <sz val="9"/>
            <color indexed="81"/>
            <rFont val="Tahoma"/>
            <family val="2"/>
          </rPr>
          <t>Input 0 if fittings not applicable</t>
        </r>
      </text>
    </comment>
    <comment ref="E15" authorId="0" shapeId="0">
      <text>
        <r>
          <rPr>
            <b/>
            <sz val="9"/>
            <color indexed="81"/>
            <rFont val="Tahoma"/>
            <family val="2"/>
          </rPr>
          <t>(BCA): Flowrate as per PUB's WELS rating</t>
        </r>
        <r>
          <rPr>
            <sz val="9"/>
            <color indexed="81"/>
            <rFont val="Tahoma"/>
            <family val="2"/>
          </rPr>
          <t xml:space="preserve">
</t>
        </r>
      </text>
    </comment>
    <comment ref="C16" authorId="0" shapeId="0">
      <text>
        <r>
          <rPr>
            <b/>
            <sz val="9"/>
            <color indexed="81"/>
            <rFont val="Tahoma"/>
            <family val="2"/>
          </rPr>
          <t>Input 0 if fittings not applicable</t>
        </r>
      </text>
    </comment>
    <comment ref="E21" authorId="0" shapeId="0">
      <text>
        <r>
          <rPr>
            <b/>
            <sz val="9"/>
            <color indexed="81"/>
            <rFont val="Tahoma"/>
            <family val="2"/>
          </rPr>
          <t>(BCA): Flowrate as per PUB's WELS rating</t>
        </r>
      </text>
    </comment>
    <comment ref="C22" authorId="0" shapeId="0">
      <text>
        <r>
          <rPr>
            <b/>
            <sz val="9"/>
            <color indexed="81"/>
            <rFont val="Tahoma"/>
            <family val="2"/>
          </rPr>
          <t>Input 0 if fittings not applicable</t>
        </r>
      </text>
    </comment>
    <comment ref="E27" authorId="0" shapeId="0">
      <text>
        <r>
          <rPr>
            <b/>
            <sz val="9"/>
            <color indexed="81"/>
            <rFont val="Tahoma"/>
            <family val="2"/>
          </rPr>
          <t>(BCA): Flowrate as per PUB's WELS rating</t>
        </r>
        <r>
          <rPr>
            <sz val="9"/>
            <color indexed="81"/>
            <rFont val="Tahoma"/>
            <family val="2"/>
          </rPr>
          <t xml:space="preserve">
</t>
        </r>
      </text>
    </comment>
    <comment ref="C28" authorId="0" shapeId="0">
      <text>
        <r>
          <rPr>
            <b/>
            <sz val="9"/>
            <color indexed="81"/>
            <rFont val="Tahoma"/>
            <family val="2"/>
          </rPr>
          <t>Input 0 if fittings not applicable</t>
        </r>
      </text>
    </comment>
    <comment ref="E33" authorId="0" shapeId="0">
      <text>
        <r>
          <rPr>
            <b/>
            <sz val="9"/>
            <color indexed="81"/>
            <rFont val="Tahoma"/>
            <family val="2"/>
          </rPr>
          <t>(BCA): Flowrate as per PUB's WELS rating</t>
        </r>
      </text>
    </comment>
    <comment ref="C34" authorId="0" shapeId="0">
      <text>
        <r>
          <rPr>
            <b/>
            <sz val="9"/>
            <color indexed="81"/>
            <rFont val="Tahoma"/>
            <family val="2"/>
          </rPr>
          <t>Input 0 if fittings not applicable</t>
        </r>
      </text>
    </comment>
    <comment ref="E39" authorId="0" shapeId="0">
      <text>
        <r>
          <rPr>
            <b/>
            <sz val="9"/>
            <color indexed="81"/>
            <rFont val="Tahoma"/>
            <family val="2"/>
          </rPr>
          <t>(BCA): Flowrate as per PUB's WELS rating</t>
        </r>
      </text>
    </comment>
    <comment ref="C40" authorId="0" shapeId="0">
      <text>
        <r>
          <rPr>
            <b/>
            <sz val="9"/>
            <color indexed="81"/>
            <rFont val="Tahoma"/>
            <family val="2"/>
          </rPr>
          <t>Input 0 if fittings not applicable</t>
        </r>
      </text>
    </comment>
    <comment ref="E45" authorId="0" shapeId="0">
      <text>
        <r>
          <rPr>
            <b/>
            <sz val="9"/>
            <color indexed="81"/>
            <rFont val="Tahoma"/>
            <family val="2"/>
          </rPr>
          <t>(BCA): Flowrate as per PUB's WELS rating</t>
        </r>
        <r>
          <rPr>
            <sz val="9"/>
            <color indexed="81"/>
            <rFont val="Tahoma"/>
            <family val="2"/>
          </rPr>
          <t xml:space="preserve">
</t>
        </r>
      </text>
    </comment>
    <comment ref="C46" authorId="0" shapeId="0">
      <text>
        <r>
          <rPr>
            <b/>
            <sz val="9"/>
            <color indexed="81"/>
            <rFont val="Tahoma"/>
            <family val="2"/>
          </rPr>
          <t>Input 0 if fittings not applicable</t>
        </r>
      </text>
    </comment>
  </commentList>
</comments>
</file>

<file path=xl/comments5.xml><?xml version="1.0" encoding="utf-8"?>
<comments xmlns="http://schemas.openxmlformats.org/spreadsheetml/2006/main">
  <authors>
    <author>Benjamin Towell</author>
  </authors>
  <commentList>
    <comment ref="D3" authorId="0" shapeId="0">
      <text>
        <r>
          <rPr>
            <b/>
            <sz val="9"/>
            <color indexed="81"/>
            <rFont val="Tahoma"/>
            <family val="2"/>
          </rPr>
          <t>BCA:</t>
        </r>
        <r>
          <rPr>
            <sz val="9"/>
            <color indexed="81"/>
            <rFont val="Tahoma"/>
            <family val="2"/>
          </rPr>
          <t xml:space="preserve">
Designed Heat Load (W/m2) for the CU. The VRF/VRV system should not be oversized</t>
        </r>
      </text>
    </comment>
    <comment ref="M3" authorId="0" shapeId="0">
      <text>
        <r>
          <rPr>
            <b/>
            <sz val="9"/>
            <color indexed="81"/>
            <rFont val="Tahoma"/>
            <family val="2"/>
          </rPr>
          <t>BCA:</t>
        </r>
        <r>
          <rPr>
            <sz val="9"/>
            <color indexed="81"/>
            <rFont val="Tahoma"/>
            <family val="2"/>
          </rPr>
          <t xml:space="preserve">
Weighted COP = 0.4xCOP@100% + 0.6COP@50%</t>
        </r>
      </text>
    </comment>
    <comment ref="N3" authorId="0" shapeId="0">
      <text>
        <r>
          <rPr>
            <b/>
            <sz val="9"/>
            <color indexed="81"/>
            <rFont val="Tahoma"/>
            <family val="2"/>
          </rPr>
          <t>BCA:</t>
        </r>
        <r>
          <rPr>
            <sz val="9"/>
            <color indexed="81"/>
            <rFont val="Tahoma"/>
            <family val="2"/>
          </rPr>
          <t xml:space="preserve">
Installed capacity x 0.7 in RT</t>
        </r>
      </text>
    </comment>
  </commentList>
</comments>
</file>

<file path=xl/sharedStrings.xml><?xml version="1.0" encoding="utf-8"?>
<sst xmlns="http://schemas.openxmlformats.org/spreadsheetml/2006/main" count="1503" uniqueCount="923">
  <si>
    <t>Hours</t>
  </si>
  <si>
    <t>Proposed Building</t>
  </si>
  <si>
    <t>Electricity (kWh/yr)</t>
  </si>
  <si>
    <t>% of Proposed Consumption</t>
  </si>
  <si>
    <t>Mechanical Ventilation</t>
  </si>
  <si>
    <t>Description</t>
  </si>
  <si>
    <t xml:space="preserve">EQUIPMENT LOAD </t>
  </si>
  <si>
    <t>N/A, Single Phase or 3 Phase</t>
  </si>
  <si>
    <t>Design Data</t>
  </si>
  <si>
    <t>Offices</t>
  </si>
  <si>
    <t>Classrooms</t>
  </si>
  <si>
    <t xml:space="preserve">Corridors </t>
  </si>
  <si>
    <t xml:space="preserve">Notes: </t>
  </si>
  <si>
    <t>LIGHTING POWER BUDGET</t>
  </si>
  <si>
    <t xml:space="preserve">Chillers Power Input
(kW) </t>
  </si>
  <si>
    <t>CHW Pumps Power
(kW)</t>
  </si>
  <si>
    <t>CW Pumps Power 
(kW)</t>
  </si>
  <si>
    <t>CT Power 
(kW)</t>
  </si>
  <si>
    <t>Total Power Input 
(kW)</t>
  </si>
  <si>
    <t>TOTAL</t>
  </si>
  <si>
    <t xml:space="preserve">Building Details </t>
  </si>
  <si>
    <t>Input</t>
  </si>
  <si>
    <t xml:space="preserve">Comments </t>
  </si>
  <si>
    <t xml:space="preserve">Building Name </t>
  </si>
  <si>
    <t xml:space="preserve">Postcode </t>
  </si>
  <si>
    <t xml:space="preserve">NON-RESIDENTIAL BUILDINGS </t>
  </si>
  <si>
    <r>
      <t xml:space="preserve">Type of Equipment
</t>
    </r>
    <r>
      <rPr>
        <sz val="11"/>
        <rFont val="Calibri"/>
        <family val="2"/>
        <scheme val="minor"/>
      </rPr>
      <t>(e.g. PC, task light, fridge, freezer, display unit, sign supplementary air conditioning, F&amp;B equipment etc.)</t>
    </r>
  </si>
  <si>
    <t xml:space="preserve">VERTICAL TRANSPORTATION </t>
  </si>
  <si>
    <t>LIFTS</t>
  </si>
  <si>
    <t>Lift</t>
  </si>
  <si>
    <t>Quantity</t>
  </si>
  <si>
    <t>Served Area</t>
  </si>
  <si>
    <t>Power Input (kW)</t>
  </si>
  <si>
    <t>Standby Power (kW)</t>
  </si>
  <si>
    <t>Energy Consumption (kWh)</t>
  </si>
  <si>
    <t>ENERGY EFFICIENT FEATURES</t>
  </si>
  <si>
    <t>Escalator</t>
  </si>
  <si>
    <t>No. of hours per year</t>
  </si>
  <si>
    <t>Escalator Motor Power Rating (kW)</t>
  </si>
  <si>
    <t>Proposed Energy Consumption (kWh/yr)</t>
  </si>
  <si>
    <t>Reference Energy Consumption (kWh/yr)</t>
  </si>
  <si>
    <t xml:space="preserve">SS 530 Requirements </t>
  </si>
  <si>
    <t>Subtotal (W) :</t>
  </si>
  <si>
    <t>Operating Hours per week (hrs)</t>
  </si>
  <si>
    <t xml:space="preserve">% Savings </t>
  </si>
  <si>
    <t>ESCALATORS</t>
  </si>
  <si>
    <t xml:space="preserve">Common Areas </t>
  </si>
  <si>
    <t xml:space="preserve">COMMON AREAS - INPUT DATA </t>
  </si>
  <si>
    <t xml:space="preserve">Toilets </t>
  </si>
  <si>
    <t xml:space="preserve">Staircases </t>
  </si>
  <si>
    <t xml:space="preserve">Lift Lobbies </t>
  </si>
  <si>
    <t xml:space="preserve">Atriums </t>
  </si>
  <si>
    <t xml:space="preserve">Carparks </t>
  </si>
  <si>
    <t xml:space="preserve">M &amp; E Spaces </t>
  </si>
  <si>
    <t>Functional Areas</t>
  </si>
  <si>
    <t>Location</t>
  </si>
  <si>
    <t>Type of Starter</t>
  </si>
  <si>
    <t>Name of Equipment</t>
  </si>
  <si>
    <t>Total Power Consumption (by area)
(W)</t>
  </si>
  <si>
    <t>Reference Total Power Consumption (by area)
(W)</t>
  </si>
  <si>
    <t>TOTAL (kWh/yr)</t>
  </si>
  <si>
    <t>Total Proposed Energy Consumption
(kWh/yr)</t>
  </si>
  <si>
    <t>Total Reference Energy Consumption
(kWh/yr)</t>
  </si>
  <si>
    <t>Details*</t>
  </si>
  <si>
    <t xml:space="preserve">Baseline </t>
  </si>
  <si>
    <t xml:space="preserve">Peak Building Cooling Load </t>
  </si>
  <si>
    <t xml:space="preserve">Minimum Design System Efficiency (DSE) for Central Chilled Water Plant </t>
  </si>
  <si>
    <t>≥ 500 RT</t>
  </si>
  <si>
    <t>&lt; 500 RT</t>
  </si>
  <si>
    <t>0.70 kW/RT</t>
  </si>
  <si>
    <t>0.80 kW/RT</t>
  </si>
  <si>
    <t>0.90 kW/RT</t>
  </si>
  <si>
    <t xml:space="preserve">BUILDING DETAILS </t>
  </si>
  <si>
    <t>Space Height (m)</t>
  </si>
  <si>
    <t>ACH</t>
  </si>
  <si>
    <t>Air Flow Rate (CMH)</t>
  </si>
  <si>
    <t>External Static (Pa)</t>
  </si>
  <si>
    <t xml:space="preserve">MV Fan Schedule </t>
  </si>
  <si>
    <t xml:space="preserve">Area Served </t>
  </si>
  <si>
    <t>* To be filled in only if "Other" was chosen for functional use</t>
  </si>
  <si>
    <t>Electrical Load Per Equipment 
(W)</t>
  </si>
  <si>
    <r>
      <t>Floor Area (m</t>
    </r>
    <r>
      <rPr>
        <b/>
        <vertAlign val="superscript"/>
        <sz val="11"/>
        <color theme="1"/>
        <rFont val="Calibri"/>
        <family val="2"/>
        <scheme val="minor"/>
      </rPr>
      <t>2</t>
    </r>
    <r>
      <rPr>
        <b/>
        <sz val="11"/>
        <color theme="1"/>
        <rFont val="Calibri"/>
        <family val="2"/>
        <scheme val="minor"/>
      </rPr>
      <t>):</t>
    </r>
  </si>
  <si>
    <r>
      <t>Area (m</t>
    </r>
    <r>
      <rPr>
        <b/>
        <vertAlign val="superscript"/>
        <sz val="11"/>
        <color theme="1"/>
        <rFont val="Calibri"/>
        <family val="2"/>
        <scheme val="minor"/>
      </rPr>
      <t>2</t>
    </r>
    <r>
      <rPr>
        <b/>
        <sz val="11"/>
        <color theme="1"/>
        <rFont val="Calibri"/>
        <family val="2"/>
        <scheme val="minor"/>
      </rPr>
      <t>)</t>
    </r>
  </si>
  <si>
    <r>
      <t>Areas 
(m</t>
    </r>
    <r>
      <rPr>
        <b/>
        <vertAlign val="superscript"/>
        <sz val="11"/>
        <color theme="1"/>
        <rFont val="Calibri"/>
        <family val="2"/>
        <scheme val="minor"/>
      </rPr>
      <t>2</t>
    </r>
    <r>
      <rPr>
        <b/>
        <sz val="11"/>
        <color theme="1"/>
        <rFont val="Calibri"/>
        <family val="2"/>
        <scheme val="minor"/>
      </rPr>
      <t>)</t>
    </r>
  </si>
  <si>
    <r>
      <t>Design Lighting Power Budget
(W/m</t>
    </r>
    <r>
      <rPr>
        <b/>
        <vertAlign val="superscript"/>
        <sz val="11"/>
        <color theme="1"/>
        <rFont val="Calibri"/>
        <family val="2"/>
        <scheme val="minor"/>
      </rPr>
      <t>2</t>
    </r>
    <r>
      <rPr>
        <b/>
        <sz val="11"/>
        <color theme="1"/>
        <rFont val="Calibri"/>
        <family val="2"/>
        <scheme val="minor"/>
      </rPr>
      <t xml:space="preserve">) </t>
    </r>
  </si>
  <si>
    <r>
      <t>Reference Lighting Power Budget 
(W/m</t>
    </r>
    <r>
      <rPr>
        <b/>
        <vertAlign val="superscript"/>
        <sz val="11"/>
        <color theme="1"/>
        <rFont val="Calibri"/>
        <family val="2"/>
        <scheme val="minor"/>
      </rPr>
      <t>2</t>
    </r>
    <r>
      <rPr>
        <b/>
        <sz val="11"/>
        <color theme="1"/>
        <rFont val="Calibri"/>
        <family val="2"/>
        <scheme val="minor"/>
      </rPr>
      <t>)</t>
    </r>
  </si>
  <si>
    <r>
      <t>Floor Area (m</t>
    </r>
    <r>
      <rPr>
        <b/>
        <vertAlign val="superscript"/>
        <sz val="11"/>
        <color theme="1"/>
        <rFont val="Calibri"/>
        <family val="2"/>
        <scheme val="minor"/>
      </rPr>
      <t>2</t>
    </r>
    <r>
      <rPr>
        <b/>
        <sz val="11"/>
        <color theme="1"/>
        <rFont val="Calibri"/>
        <family val="2"/>
        <scheme val="minor"/>
      </rPr>
      <t>)</t>
    </r>
  </si>
  <si>
    <t>Office Buildings</t>
  </si>
  <si>
    <t>Retail Malls</t>
  </si>
  <si>
    <t>Hotels</t>
  </si>
  <si>
    <t>Other Building Types</t>
  </si>
  <si>
    <t>Building Operating Hours per week</t>
  </si>
  <si>
    <t xml:space="preserve">Location </t>
  </si>
  <si>
    <t>PROPOSED LIFT ENERGY CONSUMPTION (kWh/yr)</t>
  </si>
  <si>
    <t>Address line 1</t>
  </si>
  <si>
    <t>address line 2</t>
  </si>
  <si>
    <t xml:space="preserve">Country </t>
  </si>
  <si>
    <t>Lighting</t>
  </si>
  <si>
    <t>Vertical Transportation</t>
  </si>
  <si>
    <t>Hot Water Generation</t>
  </si>
  <si>
    <t>Service Equipment</t>
  </si>
  <si>
    <t>Energy Saving (kWh/yr)</t>
  </si>
  <si>
    <t>Notes</t>
  </si>
  <si>
    <t>TOTAL ENERGY SAVINGS</t>
  </si>
  <si>
    <t>SERVICE EQUIPMENT (e.g. Sump Pumps)</t>
  </si>
  <si>
    <t>ADD TABLES FOR DIFFERENT FUNCTIONAL SPACES</t>
  </si>
  <si>
    <t>OFFICE</t>
  </si>
  <si>
    <t>RETAIL</t>
  </si>
  <si>
    <t>Total Electrical Load (kW)</t>
  </si>
  <si>
    <t>Total Baseline Electrical Load (kW)</t>
  </si>
  <si>
    <t>LIBRARY</t>
  </si>
  <si>
    <t>DATA CENTRE</t>
  </si>
  <si>
    <t>HOTEL</t>
  </si>
  <si>
    <t>TOILETS</t>
  </si>
  <si>
    <t>STAIRCASES</t>
  </si>
  <si>
    <t>CORRIDORS</t>
  </si>
  <si>
    <t>LIFT LOBBIES</t>
  </si>
  <si>
    <t>ATRIUMS</t>
  </si>
  <si>
    <t>FUNCTIONAL SPACE USE</t>
  </si>
  <si>
    <t>REFERENCE = PROPOSED</t>
  </si>
  <si>
    <t>INTERNAL EQUIPMENT ELECTRICAL LOAD  PROPOSED (W/m2)</t>
  </si>
  <si>
    <t>INTERNAL EQUIPMENT ELECTRICAL LOAD BASELINE(W/m2)</t>
  </si>
  <si>
    <t>Energy Efficient Feature</t>
  </si>
  <si>
    <t>Operating Mode (W)</t>
  </si>
  <si>
    <t>Standby Mode (W)</t>
  </si>
  <si>
    <t>Standard desktop comupter, LCD screen</t>
  </si>
  <si>
    <t xml:space="preserve">Laptop computer using external LCD screen only </t>
  </si>
  <si>
    <t>Laptop computer using both inbuilt and external LCD screen</t>
  </si>
  <si>
    <t xml:space="preserve">Laptop computer using inbuilt screen </t>
  </si>
  <si>
    <t>COMPUTERS</t>
  </si>
  <si>
    <t xml:space="preserve">OTHER EQUIPMENT </t>
  </si>
  <si>
    <t xml:space="preserve">Baseline Electrical Load Per Equipment </t>
  </si>
  <si>
    <t xml:space="preserve">A4 laser printer </t>
  </si>
  <si>
    <t xml:space="preserve">Fax / inkjet printer </t>
  </si>
  <si>
    <t xml:space="preserve">Copier </t>
  </si>
  <si>
    <t>TV</t>
  </si>
  <si>
    <t>Shredder</t>
  </si>
  <si>
    <t>Electronic Whiteboard</t>
  </si>
  <si>
    <t>Scanner</t>
  </si>
  <si>
    <t xml:space="preserve">Laminator </t>
  </si>
  <si>
    <t xml:space="preserve">Binder </t>
  </si>
  <si>
    <t>Dishwasher</t>
  </si>
  <si>
    <t>Oven</t>
  </si>
  <si>
    <t xml:space="preserve">Microwave </t>
  </si>
  <si>
    <t>Small kitchen appliances (e.g. jug, toaster, griller)</t>
  </si>
  <si>
    <t xml:space="preserve">Coffee machine </t>
  </si>
  <si>
    <t xml:space="preserve">Note: </t>
  </si>
  <si>
    <t>1) Basline electrical loads per equipment quoted from NABERS Energy Guide to Tenancy Energy Estimation</t>
  </si>
  <si>
    <t>REFRIGERATORS, FREEZERS, REFRIGERATED DRINK DISPENSERS AND HOT WATER/CHILLED WATER UNITS</t>
  </si>
  <si>
    <t xml:space="preserve">Refrigerators </t>
  </si>
  <si>
    <t xml:space="preserve">Freezer </t>
  </si>
  <si>
    <t xml:space="preserve">Refrigerated drink dispensers </t>
  </si>
  <si>
    <t>110 continuous</t>
  </si>
  <si>
    <t xml:space="preserve">Referenced to annual energy consumption shown on Energy Rating label </t>
  </si>
  <si>
    <t>110 continuous unless in-situ measurements can be presented otherwise</t>
  </si>
  <si>
    <t xml:space="preserve">Hot water units </t>
  </si>
  <si>
    <t>Chilled water units</t>
  </si>
  <si>
    <t>assessed on the basis of manufacturer’s data for standing losses, in-situ measured data for standing loss or 100W default standing loss plus 12.5 kWh (equivalent to 5W per person for 10 hours a day) per person per annum served by the unit</t>
  </si>
  <si>
    <t>assessed on the basis of the manufacturer’s data
for energy use in standing loss, in-situ measured data for standing loss or 50W default. Where the unit is operated
by a timeclock, the standing losses shall be limited to 70 hours a week</t>
  </si>
  <si>
    <t xml:space="preserve">SERVER ROOMS </t>
  </si>
  <si>
    <t xml:space="preserve">Server room </t>
  </si>
  <si>
    <t>140W per server room computer, plus 4.5W per computer for all computers in the tenancy</t>
  </si>
  <si>
    <t>other</t>
  </si>
  <si>
    <t>Proposed Car Park</t>
  </si>
  <si>
    <t xml:space="preserve">Air Conditioning </t>
  </si>
  <si>
    <t>PROPOSED IMPROVEMENT  (kWh/yr)</t>
  </si>
  <si>
    <t xml:space="preserve">% IMPROVEMENT </t>
  </si>
  <si>
    <t>Other</t>
  </si>
  <si>
    <t xml:space="preserve">TOTAL SYSTEM EFFICIENCY </t>
  </si>
  <si>
    <t>System</t>
  </si>
  <si>
    <t>Laboratories</t>
  </si>
  <si>
    <t>Office, Work and Study</t>
  </si>
  <si>
    <t>Meeting Room</t>
  </si>
  <si>
    <t>Copy/Print Rooms</t>
  </si>
  <si>
    <t>Lecture Theatre</t>
  </si>
  <si>
    <t>Computer Rooms</t>
  </si>
  <si>
    <t>Reading Areas</t>
  </si>
  <si>
    <t xml:space="preserve">Atria, Halls and Retail </t>
  </si>
  <si>
    <t>Entrance Hall</t>
  </si>
  <si>
    <t>Concourse</t>
  </si>
  <si>
    <t>Lobby</t>
  </si>
  <si>
    <t>Auditorium</t>
  </si>
  <si>
    <t>Concert Hall</t>
  </si>
  <si>
    <t>Multi Purpose Hall</t>
  </si>
  <si>
    <t>Conference Hall</t>
  </si>
  <si>
    <t>LIGHTING CONTROL STRATEGIES</t>
  </si>
  <si>
    <t xml:space="preserve">Optional lighting control allowance (W) </t>
  </si>
  <si>
    <t>= Sum of [Watts of luminaries fulfilling below control requirements x Power adjustment factor (PAF)]</t>
  </si>
  <si>
    <t>Control type</t>
  </si>
  <si>
    <t>Description of requirement for eligible control allowance</t>
  </si>
  <si>
    <t>PAF*</t>
  </si>
  <si>
    <t>Shut-Off control</t>
  </si>
  <si>
    <t>Automatic control to shut OFF all of the lighting when the space is unoccupied, determined by occupant sensor, schedule, or other signals</t>
  </si>
  <si>
    <t xml:space="preserve">Manual On control </t>
  </si>
  <si>
    <t>Manual on control with no more than 50% of the lighting power to be automatically turned on</t>
  </si>
  <si>
    <t>Multi-level lighting control</t>
  </si>
  <si>
    <t xml:space="preserve">At least one intermediate control step (between 30% - 70% of full lighting power) or continuous dimming in addition to full ON and full OFF: </t>
  </si>
  <si>
    <t>Basic demand-response control</t>
  </si>
  <si>
    <r>
      <t>Automatic control to reduce lighting power in response to an occupant sensor-control to a level ≤ 50% (≤ 70% for carpark) of designed power within 20 minutes of all occupants leaving the sensor-detectable space. Each control device shall control no more than 450 m</t>
    </r>
    <r>
      <rPr>
        <vertAlign val="superscript"/>
        <sz val="9"/>
        <color theme="1"/>
        <rFont val="Arial"/>
        <family val="2"/>
      </rPr>
      <t>2</t>
    </r>
    <r>
      <rPr>
        <sz val="9"/>
        <color theme="1"/>
        <rFont val="Arial"/>
        <family val="2"/>
      </rPr>
      <t xml:space="preserve">. </t>
    </r>
  </si>
  <si>
    <t>Automatic daylight responsive control</t>
  </si>
  <si>
    <t>Automatic photo-control to reduce lighting power in response to available daylight using continuous dimming or with at least two intermediate control points in addition to full ON and full OFF: i) between 50%-70% of full lighting power; ii) between 20-40% of full lighting power.</t>
  </si>
  <si>
    <t>Partial-on</t>
  </si>
  <si>
    <t>occupant sensing control</t>
  </si>
  <si>
    <r>
      <t>·</t>
    </r>
    <r>
      <rPr>
        <sz val="7"/>
        <color theme="1"/>
        <rFont val="Times New Roman"/>
        <family val="1"/>
      </rPr>
      <t xml:space="preserve">  </t>
    </r>
    <r>
      <rPr>
        <sz val="9"/>
        <color theme="1"/>
        <rFont val="Arial"/>
        <family val="2"/>
      </rPr>
      <t>Applicable to any area ≤ 25 m</t>
    </r>
    <r>
      <rPr>
        <vertAlign val="superscript"/>
        <sz val="9"/>
        <color theme="1"/>
        <rFont val="Arial"/>
        <family val="2"/>
      </rPr>
      <t>2</t>
    </r>
    <r>
      <rPr>
        <sz val="9"/>
        <color theme="1"/>
        <rFont val="Arial"/>
        <family val="2"/>
      </rPr>
      <t xml:space="preserve"> enclosed by floor-to-ceiling partitions; any size enclosed (non-day-lighted) classroom, conference or waiting room.</t>
    </r>
  </si>
  <si>
    <r>
      <t>·</t>
    </r>
    <r>
      <rPr>
        <sz val="7"/>
        <color theme="1"/>
        <rFont val="Times New Roman"/>
        <family val="1"/>
      </rPr>
      <t xml:space="preserve">  </t>
    </r>
    <r>
      <rPr>
        <sz val="9"/>
        <color theme="1"/>
        <rFont val="Arial"/>
        <family val="2"/>
      </rPr>
      <t>automatically deactivate all of the lighting power in the area within 30 minutes after the room has been vacated</t>
    </r>
  </si>
  <si>
    <r>
      <t>·</t>
    </r>
    <r>
      <rPr>
        <sz val="7"/>
        <color theme="1"/>
        <rFont val="Times New Roman"/>
        <family val="1"/>
      </rPr>
      <t xml:space="preserve">  </t>
    </r>
    <r>
      <rPr>
        <sz val="9"/>
        <color theme="1"/>
        <rFont val="Arial"/>
        <family val="2"/>
      </rPr>
      <t>partial-on to 30-70 % of the lighting power in the area when occupant is detected;</t>
    </r>
  </si>
  <si>
    <r>
      <t>·</t>
    </r>
    <r>
      <rPr>
        <sz val="7"/>
        <color theme="1"/>
        <rFont val="Times New Roman"/>
        <family val="1"/>
      </rPr>
      <t xml:space="preserve">  </t>
    </r>
    <r>
      <rPr>
        <sz val="9"/>
        <color theme="1"/>
        <rFont val="Arial"/>
        <family val="2"/>
      </rPr>
      <t>manual activation required for further increase in lighting power</t>
    </r>
  </si>
  <si>
    <t>Occupant sensing controls in open plan office</t>
  </si>
  <si>
    <r>
      <t>In open plan offices (containing workstations) &gt; 25m</t>
    </r>
    <r>
      <rPr>
        <vertAlign val="superscript"/>
        <sz val="9"/>
        <color theme="1"/>
        <rFont val="Arial"/>
        <family val="2"/>
      </rPr>
      <t>2</t>
    </r>
    <r>
      <rPr>
        <sz val="9"/>
        <color theme="1"/>
        <rFont val="Arial"/>
        <family val="2"/>
      </rPr>
      <t>, each sensor control device shall control the general lighting between a full ON &amp; full OFF status for an area (defined in the right)</t>
    </r>
  </si>
  <si>
    <r>
      <t>≤</t>
    </r>
    <r>
      <rPr>
        <sz val="9"/>
        <color theme="1"/>
        <rFont val="Arial"/>
        <family val="2"/>
      </rPr>
      <t>12 m</t>
    </r>
    <r>
      <rPr>
        <vertAlign val="superscript"/>
        <sz val="9"/>
        <color theme="1"/>
        <rFont val="Arial"/>
        <family val="2"/>
      </rPr>
      <t>2</t>
    </r>
  </si>
  <si>
    <r>
      <t>12 - 25 m</t>
    </r>
    <r>
      <rPr>
        <vertAlign val="superscript"/>
        <sz val="9"/>
        <color theme="1"/>
        <rFont val="Arial"/>
        <family val="2"/>
      </rPr>
      <t>2</t>
    </r>
  </si>
  <si>
    <r>
      <t>25 - 50 m</t>
    </r>
    <r>
      <rPr>
        <vertAlign val="superscript"/>
        <sz val="9"/>
        <color theme="1"/>
        <rFont val="Arial"/>
        <family val="2"/>
      </rPr>
      <t>2</t>
    </r>
  </si>
  <si>
    <t>Manually operated dimming System</t>
  </si>
  <si>
    <t>For Hotels/motels, restaurants, auditoriums, theatres only</t>
  </si>
  <si>
    <t>Combination of partial-on occupant sensing &amp; manually operated dimming</t>
  </si>
  <si>
    <r>
      <t>·</t>
    </r>
    <r>
      <rPr>
        <sz val="7"/>
        <color theme="1"/>
        <rFont val="Times New Roman"/>
        <family val="1"/>
      </rPr>
      <t xml:space="preserve">  </t>
    </r>
    <r>
      <rPr>
        <sz val="9"/>
        <color theme="1"/>
        <rFont val="Arial"/>
        <family val="2"/>
      </rPr>
      <t>Other requirements stated for partial-on occupant sensing control</t>
    </r>
  </si>
  <si>
    <r>
      <t>·</t>
    </r>
    <r>
      <rPr>
        <sz val="7"/>
        <color theme="1"/>
        <rFont val="Times New Roman"/>
        <family val="1"/>
      </rPr>
      <t xml:space="preserve">  </t>
    </r>
    <r>
      <rPr>
        <sz val="9"/>
        <color theme="1"/>
        <rFont val="Arial"/>
        <family val="2"/>
      </rPr>
      <t>Manually operated dimming control</t>
    </r>
  </si>
  <si>
    <t>* For each control device, only a single value of PAF can be chosen. Summation of PAF is not allowed. Areas classified for mandatory daylight control shall not be qualified for lighting control allowance.</t>
  </si>
  <si>
    <t>No. Fittings</t>
  </si>
  <si>
    <t>Total</t>
  </si>
  <si>
    <t xml:space="preserve">Power Adjustemnt Factor </t>
  </si>
  <si>
    <t>Retail (General Lighting)</t>
  </si>
  <si>
    <t>Retail - Jewellery (Total)</t>
  </si>
  <si>
    <t>Retail - Furniture, clothing &amp; accessories, cosmetics, art (Total)</t>
  </si>
  <si>
    <t>Retail - Supermarket, vehicle, sporting goods, stationary, hardware, others (Total)</t>
  </si>
  <si>
    <t>Includes accent, display and decorative lighting</t>
  </si>
  <si>
    <t>Retail general lighting only, excludes accent, display and decorative lighting</t>
  </si>
  <si>
    <t>Food &amp; Bevarge Areas</t>
  </si>
  <si>
    <t>Canteens</t>
  </si>
  <si>
    <t>Food Courts &amp; Hawker Centres</t>
  </si>
  <si>
    <t>includes food preparation areas and dining areas</t>
  </si>
  <si>
    <t>Restaurants</t>
  </si>
  <si>
    <t>Lounges</t>
  </si>
  <si>
    <t>Bars</t>
  </si>
  <si>
    <t>includes dining area and food preparation, accent, display, decorative</t>
  </si>
  <si>
    <t xml:space="preserve">CAR PARK LIGHTING POWER BUDGET </t>
  </si>
  <si>
    <t>BUILDING LIGHTING POWER BUDGET</t>
  </si>
  <si>
    <t>Transport and Goods</t>
  </si>
  <si>
    <t>Stairs, Escalators, Travelators</t>
  </si>
  <si>
    <t>Lift Lobbies</t>
  </si>
  <si>
    <t>Warehouses</t>
  </si>
  <si>
    <t>Storage Areas</t>
  </si>
  <si>
    <t>Car Park</t>
  </si>
  <si>
    <t>Loading Docks</t>
  </si>
  <si>
    <t>Rest, Clean, Exercise and Play</t>
  </si>
  <si>
    <t>Hotel Guest Rooms</t>
  </si>
  <si>
    <t>Toilets</t>
  </si>
  <si>
    <t>Changing Rooms</t>
  </si>
  <si>
    <t>Laundries</t>
  </si>
  <si>
    <t>Washing Areas</t>
  </si>
  <si>
    <t>Gymnasium &amp; Physical Exercise Areas</t>
  </si>
  <si>
    <t xml:space="preserve">Manufacturing &amp; Maintenance </t>
  </si>
  <si>
    <t>Mechanical &amp; Electrical Rooms</t>
  </si>
  <si>
    <t>Manufacturing (general)</t>
  </si>
  <si>
    <t>Manufacturing (electronic, fine detail or assembly)</t>
  </si>
  <si>
    <t>SAVINGS 
W</t>
  </si>
  <si>
    <t>Energy Use</t>
  </si>
  <si>
    <t>Background data for calculations</t>
  </si>
  <si>
    <t>Office</t>
  </si>
  <si>
    <t>Retail</t>
  </si>
  <si>
    <t>Hotel</t>
  </si>
  <si>
    <t>Cooling Load (W/m2)</t>
  </si>
  <si>
    <t>Electricity (kWh/Yr)</t>
  </si>
  <si>
    <t>lighting</t>
  </si>
  <si>
    <t>recepticle</t>
  </si>
  <si>
    <t>people</t>
  </si>
  <si>
    <t>fresh air</t>
  </si>
  <si>
    <t>SS code</t>
  </si>
  <si>
    <t>CIBSE A</t>
  </si>
  <si>
    <t>0.3l/s/m2</t>
  </si>
  <si>
    <t>ASHRAE 62</t>
  </si>
  <si>
    <t>1.08cmh/m2</t>
  </si>
  <si>
    <t>total</t>
  </si>
  <si>
    <t>Common area cooling</t>
  </si>
  <si>
    <t>Common areas Heat load</t>
  </si>
  <si>
    <t>Mode of Ventilation</t>
  </si>
  <si>
    <t>RT/yr</t>
  </si>
  <si>
    <t>Additional power based on design DSE</t>
  </si>
  <si>
    <t>Design Model Additional Cooling Load (kW)</t>
  </si>
  <si>
    <t>Industrial</t>
  </si>
  <si>
    <t>AC INFORMATION</t>
  </si>
  <si>
    <t>AC System Type</t>
  </si>
  <si>
    <t>Annual Consumption (kWh/yr)</t>
  </si>
  <si>
    <t>Annual SAVINGS 
kWh/yr</t>
  </si>
  <si>
    <t>Space</t>
  </si>
  <si>
    <t>W/m2</t>
  </si>
  <si>
    <t>Education</t>
  </si>
  <si>
    <t>Healthcare</t>
  </si>
  <si>
    <t>Sports</t>
  </si>
  <si>
    <t>Cooling Load for Energy Calculation (RT/yr)</t>
  </si>
  <si>
    <t>[Empty]</t>
  </si>
  <si>
    <t>Motor Input Power (W)</t>
  </si>
  <si>
    <r>
      <rPr>
        <b/>
        <u/>
        <sz val="11"/>
        <color theme="1"/>
        <rFont val="Calibri"/>
        <family val="2"/>
        <scheme val="minor"/>
      </rPr>
      <t>Notes</t>
    </r>
    <r>
      <rPr>
        <sz val="11"/>
        <color theme="1"/>
        <rFont val="Calibri"/>
        <family val="2"/>
        <scheme val="minor"/>
      </rPr>
      <t>: 
The Air Conditioning system is based on the DSE of the proposed ACMV system. Where a combination of ACMV systems are used this shall be taken into account.  The reference and proposed Energy Consumption per year is based upon a notional w/m2 cooling load based on the funtional areas and operational hours from the Building Data Schedule</t>
    </r>
  </si>
  <si>
    <t>Building NLA</t>
  </si>
  <si>
    <t>Car Park Area</t>
  </si>
  <si>
    <t>BUILDING ENERGY EFFICIENCY INDEX</t>
  </si>
  <si>
    <t xml:space="preserve">AIR CONDITIONED FUNCTIONAL AREAS - INPUT DATA </t>
  </si>
  <si>
    <t xml:space="preserve">NON AIR CONDITIONED FUNCTIONAL AREAS - INPUT DATA </t>
  </si>
  <si>
    <t>[Please Select]</t>
  </si>
  <si>
    <t>Receptacle</t>
  </si>
  <si>
    <t>Hot Water Usage Calculation</t>
  </si>
  <si>
    <t>Showers</t>
  </si>
  <si>
    <t>Remarks</t>
  </si>
  <si>
    <t>Water use/day for shower =</t>
  </si>
  <si>
    <t># of shower fittings</t>
  </si>
  <si>
    <t>x</t>
  </si>
  <si>
    <t>*Shower fitting flow rate (L/min)</t>
  </si>
  <si>
    <t># mins per shower</t>
  </si>
  <si>
    <t xml:space="preserve"># of showers per day </t>
  </si>
  <si>
    <t>% hot water mix</t>
  </si>
  <si>
    <t>=</t>
  </si>
  <si>
    <t>L/day</t>
  </si>
  <si>
    <t>Kitchen Basin</t>
  </si>
  <si>
    <t>Water use/day for Kitchen wash basin=</t>
  </si>
  <si>
    <t># of sink tap fittings</t>
  </si>
  <si>
    <t>sink tap fitting flow rate (L/min)</t>
  </si>
  <si>
    <t># mins operating per wash</t>
  </si>
  <si>
    <t xml:space="preserve"># of wash per day </t>
  </si>
  <si>
    <t>Kitchen Dish Washer</t>
  </si>
  <si>
    <t>Water use/day for Kitchen dishwasher=</t>
  </si>
  <si>
    <t># of dishwashers</t>
  </si>
  <si>
    <t>Dishwashers flow rate (L/min)</t>
  </si>
  <si>
    <t># mins operating per wash cycle</t>
  </si>
  <si>
    <t>Laundry Machine</t>
  </si>
  <si>
    <t>Water use/day for Laundry Machine =</t>
  </si>
  <si>
    <t># of laundry machines</t>
  </si>
  <si>
    <t>Laundry machines flow rate (L/min)</t>
  </si>
  <si>
    <t>Water use/day for ______________ =</t>
  </si>
  <si>
    <t># of ________________</t>
  </si>
  <si>
    <t>__________ flow rate (L/min)</t>
  </si>
  <si>
    <t># mins operating per cycle</t>
  </si>
  <si>
    <t xml:space="preserve"># of cycle per day </t>
  </si>
  <si>
    <t xml:space="preserve">Total Hot water use per day = </t>
  </si>
  <si>
    <t xml:space="preserve">= </t>
  </si>
  <si>
    <t>m3/day</t>
  </si>
  <si>
    <t xml:space="preserve">Q = </t>
  </si>
  <si>
    <t>kJ/day</t>
  </si>
  <si>
    <t>Q =</t>
  </si>
  <si>
    <t>m*Cp*dT</t>
  </si>
  <si>
    <t>kWh/day</t>
  </si>
  <si>
    <t>m =</t>
  </si>
  <si>
    <t>kg/d</t>
  </si>
  <si>
    <t>(Assume 1m3 of water = 1000kg)</t>
  </si>
  <si>
    <t>Cp =</t>
  </si>
  <si>
    <t>kJ/kgK</t>
  </si>
  <si>
    <t>Feed water supply temp =</t>
  </si>
  <si>
    <t>°C</t>
  </si>
  <si>
    <t xml:space="preserve">Hot water Supply temp = </t>
  </si>
  <si>
    <t xml:space="preserve">dT = </t>
  </si>
  <si>
    <t>∆°C</t>
  </si>
  <si>
    <t>Using a heat Pump</t>
  </si>
  <si>
    <t>Energy Input required from heat pump=</t>
  </si>
  <si>
    <t xml:space="preserve">No of days/year of operation = </t>
  </si>
  <si>
    <t>days</t>
  </si>
  <si>
    <t xml:space="preserve">Annual energy Savings from using heat pumps for hot water heating = </t>
  </si>
  <si>
    <t>kWh/yr</t>
  </si>
  <si>
    <t>ENERGY EFFICIENT EQUIPMENT / FEATURES</t>
  </si>
  <si>
    <t xml:space="preserve">Please substantiate through calculations that demonstrate energy savings of features. The energy saving value entered in the cell should be a positive value. The points calculator is programmed to read this as a saving and adjusts the figure accordingly </t>
  </si>
  <si>
    <t>Label</t>
  </si>
  <si>
    <t>Reference Fan Efficiency (W/CMH)</t>
  </si>
  <si>
    <t>Reference Input power (W)</t>
  </si>
  <si>
    <t xml:space="preserve">Temperature required = </t>
  </si>
  <si>
    <t>Assume 40°C if details not available</t>
  </si>
  <si>
    <t xml:space="preserve">Assume 60°C if details not available </t>
  </si>
  <si>
    <t>% mix will be 100% if additional heating required</t>
  </si>
  <si>
    <t>Others 1 (Please specify) :</t>
  </si>
  <si>
    <t>Others 2(Please specify) :</t>
  </si>
  <si>
    <t>Others 3(Please specify) :</t>
  </si>
  <si>
    <t>Energy Input required from baseline water heater=</t>
  </si>
  <si>
    <t>Energy Input capacity from heat pump=</t>
  </si>
  <si>
    <t>Energy output capacity of heat pump=</t>
  </si>
  <si>
    <t>kW</t>
  </si>
  <si>
    <t xml:space="preserve">Alternatively, if power input and output given instead from specs : </t>
  </si>
  <si>
    <t>eg . Process 1</t>
  </si>
  <si>
    <t>Type (eg. Passenger lift, Cargo Lift, etc…)</t>
  </si>
  <si>
    <t>Lift Operation Hours per Week</t>
  </si>
  <si>
    <t>Standby hours (hrs)/yr</t>
  </si>
  <si>
    <t>No of Lift Operation hours  per year</t>
  </si>
  <si>
    <t>Lift Controller, Lighting, Fan power 
(kW)</t>
  </si>
  <si>
    <t>Lift Controller, Lighting, Fan power 
(kWh/yr)</t>
  </si>
  <si>
    <t>Per Lift Car</t>
  </si>
  <si>
    <t>Lift Information</t>
  </si>
  <si>
    <t>No. of Escalators</t>
  </si>
  <si>
    <t>Operating hours/week</t>
  </si>
  <si>
    <t>Retail Corridors (Interior)</t>
  </si>
  <si>
    <t xml:space="preserve">Retail Atriums </t>
  </si>
  <si>
    <t>Area (m2)</t>
  </si>
  <si>
    <t>Common Areas (Applicable to Retail)</t>
  </si>
  <si>
    <t>Reference Additional Cooling Load (kW)</t>
  </si>
  <si>
    <t>Motor Nameplate Power (W)</t>
  </si>
  <si>
    <r>
      <t xml:space="preserve">Nameplate motor power </t>
    </r>
    <r>
      <rPr>
        <sz val="11"/>
        <color theme="1"/>
        <rFont val="Calibri"/>
        <family val="2"/>
      </rPr>
      <t>&lt; 4kW</t>
    </r>
  </si>
  <si>
    <t>Reference Nameplate power (W)</t>
  </si>
  <si>
    <t>Design Fan Efficiency (W/CMH)</t>
  </si>
  <si>
    <t>*Choose option of Baseline reference:</t>
  </si>
  <si>
    <t>Avg</t>
  </si>
  <si>
    <t>Total Airflow Rate(CMH)</t>
  </si>
  <si>
    <t>Total Fan Power (kW)</t>
  </si>
  <si>
    <t>Savings (kW)</t>
  </si>
  <si>
    <t>Schools &amp; Institutions</t>
  </si>
  <si>
    <t>Industrial Buildings</t>
  </si>
  <si>
    <t>Mechanical Ventilation for Car Park</t>
  </si>
  <si>
    <t>Air Cooled Chilled Water Plant</t>
  </si>
  <si>
    <t>Unitary System</t>
  </si>
  <si>
    <t>Industrial &amp; Hotels</t>
  </si>
  <si>
    <t>Minimum Design System Efficiency (DSE) for Air Cooled / Unitary Systems</t>
  </si>
  <si>
    <t xml:space="preserve"> Chiller Power Input
(kW) </t>
  </si>
  <si>
    <t>Total Condensing Units Power Input
(kW)</t>
  </si>
  <si>
    <t xml:space="preserve">BASE BUILDING </t>
  </si>
  <si>
    <t>% Savings (Cap at 18%). Substantiated by Manufacturer's calculations</t>
  </si>
  <si>
    <t>Savings from Regernerative Drive</t>
  </si>
  <si>
    <t>Escalator Operating Hours per week</t>
  </si>
  <si>
    <t>Usage Factor Proposed (U) From Energy Saving Features*</t>
  </si>
  <si>
    <t>Usage Factor Reference building (U)</t>
  </si>
  <si>
    <t>PROPOSED ESCALATOR ENERGY CONSUMPTION (kWh/yr)</t>
  </si>
  <si>
    <t>Air Conditioning System</t>
  </si>
  <si>
    <t>Common area cooling (Applicable only for Retail Int Corridors and Retail Atrium)</t>
  </si>
  <si>
    <t>Building EEI</t>
  </si>
  <si>
    <t>Car Park Operating Hours per week</t>
  </si>
  <si>
    <t>Car Park EUI</t>
  </si>
  <si>
    <t>Additional Power Based on DSE</t>
  </si>
  <si>
    <t>Car Park RT/yr</t>
  </si>
  <si>
    <t>% IMPROVEMENT OVER REFERENCE</t>
  </si>
  <si>
    <t>REFERENCE LIFT ENERGY CONSUMPTION (kWh/yr)</t>
  </si>
  <si>
    <t>REFERENCE ESCALATOR ENERGY CONSUMPTION (kWh/yr)</t>
  </si>
  <si>
    <t>COP of Reference water heater = For Hotel 3.2, for domestic purposes COP of 1</t>
  </si>
  <si>
    <t>For projects to import their VRV/VRF/Split system workings for assessment checking</t>
  </si>
  <si>
    <t>For projects to place the E20/IES/DOE or equivalent heat load calculation for the design day and the design week to generate the load profiles.</t>
  </si>
  <si>
    <t>DESCRIPTION</t>
  </si>
  <si>
    <t>AREA OF PV ARRAY</t>
  </si>
  <si>
    <t>kWp INSTALLED</t>
  </si>
  <si>
    <t>NOTES</t>
  </si>
  <si>
    <t>Annual Replacement Rate</t>
  </si>
  <si>
    <t>Points Scored</t>
  </si>
  <si>
    <t>TOTAL REFERENCE POWER (W)</t>
  </si>
  <si>
    <t>TOTAL PROPOSED POWER (W)</t>
  </si>
  <si>
    <t xml:space="preserve">For projects to import their AC Air distribution system calculations </t>
  </si>
  <si>
    <t>Storey</t>
  </si>
  <si>
    <t>Area Served</t>
  </si>
  <si>
    <t>FCU Model</t>
  </si>
  <si>
    <t>CU Model</t>
  </si>
  <si>
    <t>Qty</t>
  </si>
  <si>
    <t>System / Zone</t>
  </si>
  <si>
    <t>Total Cooling Capacity (kW)</t>
  </si>
  <si>
    <t>COP at Full Load</t>
  </si>
  <si>
    <t>COP at 50% Load</t>
  </si>
  <si>
    <t>Weighted COP</t>
  </si>
  <si>
    <t>Power Input (Full Load) (kW)</t>
  </si>
  <si>
    <t>Comments / Remarks</t>
  </si>
  <si>
    <t>Served Areas</t>
  </si>
  <si>
    <t>Tag No.</t>
  </si>
  <si>
    <t>Model Number</t>
  </si>
  <si>
    <t>Coil Capacity (kW)</t>
  </si>
  <si>
    <t>Design Efficiency (W/CMH)</t>
  </si>
  <si>
    <t>Total Air Flow Rate CMH</t>
  </si>
  <si>
    <t>Chiller Configuration</t>
  </si>
  <si>
    <t>GFA area check:</t>
  </si>
  <si>
    <t>(excludes carpark)</t>
  </si>
  <si>
    <t>Areas (GFA) - excludes carparks</t>
  </si>
  <si>
    <t>m2</t>
  </si>
  <si>
    <t>Building GFA (exclude carpark)</t>
  </si>
  <si>
    <t>Regerative Motor, if applicable</t>
  </si>
  <si>
    <t>Reference Power per Equipment
(kW)</t>
  </si>
  <si>
    <t>Estimated Weekly Operating Hours
(Hrs)</t>
  </si>
  <si>
    <t>Proposed Rated Power per Equipment
(kW)</t>
  </si>
  <si>
    <t>Base on RTh</t>
  </si>
  <si>
    <t>No. of operating hours =</t>
  </si>
  <si>
    <t>hours</t>
  </si>
  <si>
    <t>SECTION 2 GREEN MARK SCORE SUMMARY</t>
  </si>
  <si>
    <t>% Improvement In AC Efficiency</t>
  </si>
  <si>
    <t xml:space="preserve"> 9 a.m. to 6 p.m.</t>
  </si>
  <si>
    <t xml:space="preserve">10 a.m. to 10 p.m. </t>
  </si>
  <si>
    <t>24 Hours</t>
  </si>
  <si>
    <t xml:space="preserve">To be determined based on frequently occuring operating hours  </t>
  </si>
  <si>
    <t>Average Heat Load (W/m2)</t>
  </si>
  <si>
    <t>Weighted RT</t>
  </si>
  <si>
    <t>Fan Nameplate Power</t>
  </si>
  <si>
    <t>Fan Input Power (Operational Load)</t>
  </si>
  <si>
    <t xml:space="preserve">PERCENTAGE SAVINGS </t>
  </si>
  <si>
    <t>Points</t>
  </si>
  <si>
    <t>Indicator</t>
  </si>
  <si>
    <t>[Select from drop-down list]</t>
  </si>
  <si>
    <t>Heating COP of heat Pump =</t>
  </si>
  <si>
    <t>Input this figure as "Heating COP of heat Pump"</t>
  </si>
  <si>
    <t>kWh/m2/yr</t>
  </si>
  <si>
    <t>Remark</t>
  </si>
  <si>
    <t>% Annual Energy Replacement</t>
  </si>
  <si>
    <t xml:space="preserve"> </t>
  </si>
  <si>
    <t>Project Name:</t>
  </si>
  <si>
    <t>GM Ref. No:</t>
  </si>
  <si>
    <t>History of amendments</t>
  </si>
  <si>
    <t>S/N</t>
  </si>
  <si>
    <t>Effective date</t>
  </si>
  <si>
    <t>Version No.</t>
  </si>
  <si>
    <t>Energy Spreadsheet_ GMV5_2 01_d004</t>
  </si>
  <si>
    <t>Energy Spreadsheet_ GM2015_R0</t>
  </si>
  <si>
    <t>4th Sep 2015</t>
  </si>
  <si>
    <t>Remarks/Brief Description of changes</t>
  </si>
  <si>
    <t xml:space="preserve">Please input expected operational cooling load based on simulation data </t>
  </si>
  <si>
    <t>CLASSROOM</t>
  </si>
  <si>
    <t>WAREHOUSE/STORES</t>
  </si>
  <si>
    <t>HEATHCARE / INSTITUTIONAL</t>
  </si>
  <si>
    <t>LIGHT MANUFACTURING</t>
  </si>
  <si>
    <t>COMPUTER INTENSIVE ROOM</t>
  </si>
  <si>
    <t>OTHER 
(Specify: __________)</t>
  </si>
  <si>
    <t xml:space="preserve">NOTES </t>
  </si>
  <si>
    <t>FOR OFFICE AREAS WITH KNOWN EQUIPMENT SELECTION TO JUSTIFY PROCESS LOAD REDUCTION (Source: Nabers )</t>
  </si>
  <si>
    <t>Space type</t>
  </si>
  <si>
    <r>
      <t>Recommended Receptacle Load  (W/m</t>
    </r>
    <r>
      <rPr>
        <vertAlign val="superscript"/>
        <sz val="11"/>
        <color theme="1"/>
        <rFont val="Calibri"/>
        <family val="2"/>
        <scheme val="minor"/>
      </rPr>
      <t>2</t>
    </r>
    <r>
      <rPr>
        <sz val="11"/>
        <color theme="1"/>
        <rFont val="Calibri"/>
        <family val="2"/>
        <scheme val="minor"/>
      </rPr>
      <t>)</t>
    </r>
  </si>
  <si>
    <t>Computer intensive room</t>
  </si>
  <si>
    <t>Server Room/ Data Center</t>
  </si>
  <si>
    <t>Recommended Receptacle Load if information not available (W/m2)</t>
  </si>
  <si>
    <t>Total Power Input of AC System, Water+Air (KW)</t>
  </si>
  <si>
    <t>Chiller Plant Efficiency (KW/RT)</t>
  </si>
  <si>
    <t>Air Distribution System Efficiency (KW/RT)</t>
  </si>
  <si>
    <t>Total Efficiency Water+Air, (KW/RT)</t>
  </si>
  <si>
    <t>Total Chiller plant Power Input 
(kW)</t>
  </si>
  <si>
    <t>Air-Distribution</t>
  </si>
  <si>
    <t>Air Distribution Configuration (FCU,PAU, AHU - VAV, AHU -CAV, Others …)</t>
  </si>
  <si>
    <t>Air-Distribution System</t>
  </si>
  <si>
    <t>*Total Air-side Motor Input Power (KW)</t>
  </si>
  <si>
    <t>Air-cooled Chiller Plant System</t>
  </si>
  <si>
    <t>Water Cooled Chiller Plant System</t>
  </si>
  <si>
    <t>AIR-COOLED CHILLED-WATER PLANT &amp; AIR DISTRIBUTION SYSTEM</t>
  </si>
  <si>
    <t>AIR COOLED CHILLED-WATER PLANT &amp; AIR DISTRIBUTION SYSTEM SUMMARY</t>
  </si>
  <si>
    <t>Total RTh</t>
  </si>
  <si>
    <t>UNITARY / SPLIT CONDITIONERS &amp; AIR DISTRIBUTION SYSTEM</t>
  </si>
  <si>
    <t>UNITARY / SPLIT CONDITIONERS &amp; AIR DISTRIBUTION SYSTEM SUMMARY</t>
  </si>
  <si>
    <t>Type (FCU,PAU, AHU - VAV, AHU -CAV, Others … )</t>
  </si>
  <si>
    <t>Unitary/ Split System Efficiency (KW/RT)</t>
  </si>
  <si>
    <t>Unitary/ Split System Configuration</t>
  </si>
  <si>
    <t>Unitary/ Split Conditioners system</t>
  </si>
  <si>
    <t>Air Distribution Configuration (FCU, Others …)</t>
  </si>
  <si>
    <t>*Note: Total hourly motor input power based on simulation, or motor nameplate power if simulation not available. For unitary systems,  the air distribution efficiency shall be  based on the assumption that the fan speed is at the high(est) level for FCUs.</t>
  </si>
  <si>
    <t>1.08cmh/m3</t>
  </si>
  <si>
    <t>Energy efficient Features</t>
  </si>
  <si>
    <t>Average Hourly Simulated Cooling Load (RT)</t>
  </si>
  <si>
    <t>Energy Savings cap</t>
  </si>
  <si>
    <t>List of accepted systems /devices</t>
  </si>
  <si>
    <t>CO sensors</t>
  </si>
  <si>
    <t>Occupancy sensors</t>
  </si>
  <si>
    <t>Photo sensors</t>
  </si>
  <si>
    <t>others</t>
  </si>
  <si>
    <t>To discuss with assessor</t>
  </si>
  <si>
    <t>The basis for deriving the oevrall energy consumption and potential energy savings must be made clear and justifiable for consideration. Notwithstanding this, the potential energy savings for the following systems/ devices are subjected to the cap based on the following:</t>
  </si>
  <si>
    <t>Introduction:</t>
  </si>
  <si>
    <t>General Notes:</t>
  </si>
  <si>
    <t>Building Data schedule</t>
  </si>
  <si>
    <t>-</t>
  </si>
  <si>
    <t>Main functions of this calculator:
Main functions of this calculator:</t>
  </si>
  <si>
    <t>Streamlined vs 4.1. – Single spreadsheet calculator</t>
  </si>
  <si>
    <t>Recognises efficiency and energy reduction strategies</t>
  </si>
  <si>
    <t xml:space="preserve">Notional baselines to incorporate AC total system efficiencies, non AC common areas etc. </t>
  </si>
  <si>
    <t>Separates building savings, car park savings and receptacle savings</t>
  </si>
  <si>
    <r>
      <t>Users are to input details and figures, or chose the options from a drop-down list only in the</t>
    </r>
    <r>
      <rPr>
        <sz val="11"/>
        <color theme="3" tint="0.59999389629810485"/>
        <rFont val="Calibri"/>
        <family val="2"/>
        <scheme val="minor"/>
      </rPr>
      <t xml:space="preserve"> blue cells</t>
    </r>
    <r>
      <rPr>
        <sz val="11"/>
        <color theme="1"/>
        <rFont val="Calibri"/>
        <family val="2"/>
        <scheme val="minor"/>
      </rPr>
      <t>.</t>
    </r>
  </si>
  <si>
    <t>If there are scenarios where there is neccessity to insert additional rows in the locked sheets, please request from the project's Green Mark assessors to assist.</t>
  </si>
  <si>
    <t>Mixed Use</t>
  </si>
  <si>
    <r>
      <t xml:space="preserve">Primary Usage </t>
    </r>
    <r>
      <rPr>
        <i/>
        <sz val="11"/>
        <color theme="1"/>
        <rFont val="Calibri"/>
        <family val="2"/>
        <scheme val="minor"/>
      </rPr>
      <t>[Please choose from drop-down list]</t>
    </r>
  </si>
  <si>
    <t xml:space="preserve">Supporting Evidence, if applicable </t>
  </si>
  <si>
    <t>Operating hours &amp; area will be autogenerated with area inputs of the above components of the mixed development. If building is not of mixed use type, the total GFA will be reflected here.</t>
  </si>
  <si>
    <t>For mixed use development, the average operating hours &amp; total area will be autogenerated with area inputs of the individual components of the mixed development. If building is not of mixed use type, the average oeprating hours and total GFA will be reflected in cell G13 and H13 respectively.</t>
  </si>
  <si>
    <t>All fields in this table are to be filled, if applicable</t>
  </si>
  <si>
    <t>Mode of ventilation is to be based on majority (i.e. &gt;50%). Eg. If total toilet space that are naturally ventilated is more than 50%, chose NV mode from the drop-down list.</t>
  </si>
  <si>
    <t>*Note: Area is based on total ; Mode of ventilation to based on majority (i.e. &gt;50%)</t>
  </si>
  <si>
    <t>*Major Mode of Ventilation</t>
  </si>
  <si>
    <t>% of space that is of major mode of ventilation</t>
  </si>
  <si>
    <r>
      <t>Total Area (m</t>
    </r>
    <r>
      <rPr>
        <b/>
        <vertAlign val="superscript"/>
        <sz val="11"/>
        <color theme="1"/>
        <rFont val="Calibri"/>
        <family val="2"/>
        <scheme val="minor"/>
      </rPr>
      <t>2</t>
    </r>
    <r>
      <rPr>
        <b/>
        <sz val="11"/>
        <color theme="1"/>
        <rFont val="Calibri"/>
        <family val="2"/>
        <scheme val="minor"/>
      </rPr>
      <t>)</t>
    </r>
  </si>
  <si>
    <r>
      <t>Area of space that is of the major mode of ventilation (m</t>
    </r>
    <r>
      <rPr>
        <b/>
        <vertAlign val="superscript"/>
        <sz val="11"/>
        <color theme="1"/>
        <rFont val="Calibri"/>
        <family val="2"/>
        <scheme val="minor"/>
      </rPr>
      <t>2</t>
    </r>
    <r>
      <rPr>
        <b/>
        <sz val="11"/>
        <color theme="1"/>
        <rFont val="Calibri"/>
        <family val="2"/>
        <scheme val="minor"/>
      </rPr>
      <t>)</t>
    </r>
  </si>
  <si>
    <t>All fields in this table are to be filled, if there are functional air-conditional spaces</t>
  </si>
  <si>
    <r>
      <t xml:space="preserve">Functional Use </t>
    </r>
    <r>
      <rPr>
        <b/>
        <i/>
        <sz val="11"/>
        <color theme="1"/>
        <rFont val="Calibri"/>
        <family val="2"/>
        <scheme val="minor"/>
      </rPr>
      <t>[Please choose from drop-down list]</t>
    </r>
  </si>
  <si>
    <r>
      <t>Functional Use</t>
    </r>
    <r>
      <rPr>
        <b/>
        <i/>
        <sz val="11"/>
        <color theme="1"/>
        <rFont val="Calibri"/>
        <family val="2"/>
        <scheme val="minor"/>
      </rPr>
      <t xml:space="preserve"> [Please select from drop-down list]</t>
    </r>
  </si>
  <si>
    <r>
      <t>The cooling load per m</t>
    </r>
    <r>
      <rPr>
        <vertAlign val="superscript"/>
        <sz val="11"/>
        <color theme="1"/>
        <rFont val="Calibri"/>
        <family val="2"/>
        <scheme val="minor"/>
      </rPr>
      <t>2</t>
    </r>
    <r>
      <rPr>
        <sz val="11"/>
        <color theme="1"/>
        <rFont val="Calibri"/>
        <family val="2"/>
        <scheme val="minor"/>
      </rPr>
      <t xml:space="preserve"> for Office, Retail and Hotel space type are fixed.</t>
    </r>
  </si>
  <si>
    <t>All fields in this table are to be filled, if there are functional non air-conditional spaces</t>
  </si>
  <si>
    <t>This is automated once the input for the whole excel has been completed for the project.</t>
  </si>
  <si>
    <t>Others [please specify]</t>
  </si>
  <si>
    <t>Mode of ventilation is assumed to be NV for these common areas, except retail corridors (interior) and retail atriums in the reference building</t>
  </si>
  <si>
    <t>This is automated once the input for the whole excel has been completed for the project, except for "others". User will have to input if there are other components not accounted within this calculator - please check with the GM assessor.</t>
  </si>
  <si>
    <t>Note that the baseline for carpark will be non air-conditioned.</t>
  </si>
  <si>
    <r>
      <t>AGGREGATED AREA (m</t>
    </r>
    <r>
      <rPr>
        <b/>
        <vertAlign val="superscript"/>
        <sz val="11"/>
        <color theme="1"/>
        <rFont val="Calibri"/>
        <family val="2"/>
        <scheme val="minor"/>
      </rPr>
      <t>2</t>
    </r>
    <r>
      <rPr>
        <b/>
        <sz val="11"/>
        <color theme="1"/>
        <rFont val="Calibri"/>
        <family val="2"/>
        <scheme val="minor"/>
      </rPr>
      <t>)</t>
    </r>
  </si>
  <si>
    <r>
      <t>PROPOSED POWER BUDGET (W/m</t>
    </r>
    <r>
      <rPr>
        <b/>
        <vertAlign val="superscript"/>
        <sz val="11"/>
        <color theme="1"/>
        <rFont val="Calibri"/>
        <family val="2"/>
        <scheme val="minor"/>
      </rPr>
      <t>2</t>
    </r>
    <r>
      <rPr>
        <b/>
        <sz val="11"/>
        <color theme="1"/>
        <rFont val="Calibri"/>
        <family val="2"/>
        <scheme val="minor"/>
      </rPr>
      <t>)</t>
    </r>
  </si>
  <si>
    <r>
      <t>REFERENCE POWER BUDGET (W/m</t>
    </r>
    <r>
      <rPr>
        <b/>
        <vertAlign val="superscript"/>
        <sz val="11"/>
        <color theme="1"/>
        <rFont val="Calibri"/>
        <family val="2"/>
        <scheme val="minor"/>
      </rPr>
      <t>2</t>
    </r>
    <r>
      <rPr>
        <b/>
        <sz val="11"/>
        <color theme="1"/>
        <rFont val="Calibri"/>
        <family val="2"/>
        <scheme val="minor"/>
      </rPr>
      <t>)</t>
    </r>
  </si>
  <si>
    <t>The proposed receptacle load per m2 are to be input for each individual space type, except for the common areas.</t>
  </si>
  <si>
    <t>Only the cells in blue are requried for inputs, the rest are automated.</t>
  </si>
  <si>
    <r>
      <t>The cooling load per m</t>
    </r>
    <r>
      <rPr>
        <vertAlign val="superscript"/>
        <sz val="11"/>
        <color theme="1"/>
        <rFont val="Calibri"/>
        <family val="2"/>
        <scheme val="minor"/>
      </rPr>
      <t>2</t>
    </r>
    <r>
      <rPr>
        <sz val="11"/>
        <color theme="1"/>
        <rFont val="Calibri"/>
        <family val="2"/>
        <scheme val="minor"/>
      </rPr>
      <t xml:space="preserve"> for the other spaces are to be input by the users. It would be based on the W/m</t>
    </r>
    <r>
      <rPr>
        <vertAlign val="superscript"/>
        <sz val="11"/>
        <color theme="1"/>
        <rFont val="Calibri"/>
        <family val="2"/>
        <scheme val="minor"/>
      </rPr>
      <t xml:space="preserve">2 </t>
    </r>
    <r>
      <rPr>
        <sz val="11"/>
        <color theme="1"/>
        <rFont val="Calibri"/>
        <family val="2"/>
        <scheme val="minor"/>
      </rPr>
      <t>generated from cooling load simulations.</t>
    </r>
  </si>
  <si>
    <r>
      <t xml:space="preserve">Is this project using chilled water supplied from a DCS (regardless gazzetted or non-gazzetted) ? 
</t>
    </r>
    <r>
      <rPr>
        <b/>
        <i/>
        <sz val="11"/>
        <color theme="4"/>
        <rFont val="Calibri"/>
        <family val="2"/>
        <scheme val="minor"/>
      </rPr>
      <t>[Please choose from drop-down list.]</t>
    </r>
  </si>
  <si>
    <t>WATER COOLED CHILLED-WATER PLANT &amp; AIR DISTRIBUTION SYSTEM; WATER COOLED CHILLED-WATER PLANT &amp; AIR DISTRIBUTION SYSTEM SUMMARY</t>
  </si>
  <si>
    <t>AIR-COOLED CHILLED-WATER PLANT &amp; AIR DISTRIBUTION SYSTEM; AIR COOLED CHILLED-WATER PLANT &amp; AIR DISTRIBUTION SYSTEM SUMMARY</t>
  </si>
  <si>
    <t>Operational hours to ascertain the DSE</t>
  </si>
  <si>
    <t>UNITARY / SPLIT CONDITIONERS &amp; AIR DISTRIBUTION SYSTEM; UNITARY / SPLIT CONDITIONERS &amp; AIR DISTRIBUTION SYSTEM SUMMARY</t>
  </si>
  <si>
    <t>Check the W/cmh of the air distribution system for code compliances</t>
  </si>
  <si>
    <t xml:space="preserve"> Total hourly motor input power shall be based on simulation, or motor nameplate power if simulation not available.</t>
  </si>
  <si>
    <t>For unitary systems,  the air distribution efficiency shall be  based on the assumption that the fan speed is at the high(est) level for FCUs.</t>
  </si>
  <si>
    <t>Beta version for Pilot</t>
  </si>
  <si>
    <t>Reference is based on the prevailing SS530 code</t>
  </si>
  <si>
    <t xml:space="preserve">1) Refer to SS 530 :2014 Table 7A - Maximum lighting power budget (including ballast loss) </t>
  </si>
  <si>
    <t>CAR PARK LIGHTING POWER BUDGET</t>
  </si>
  <si>
    <t>1) Refer to SS 530 :2014 Table 7B (extracted below)</t>
  </si>
  <si>
    <t>Project are allowed to claim savings for using regenerative lifts, up to a cap of 18% savings. Project team must substantiate the savings with relevant documentation proof or calculations, as provided by the lift suppliers</t>
  </si>
  <si>
    <t>Project are allowed assume 5% of the motor power for the standby power, if information is not available from specifications.</t>
  </si>
  <si>
    <t>*Note: Usage Factor Proposed (U) From Energy Saving Features from manufacturer's specifications , and must not be less than 0.7</t>
  </si>
  <si>
    <t>The Usage Factor Proposed (U) From Energy Saving Features is to be obtained from manufacturer's specifications , and must not be less than 0.7</t>
  </si>
  <si>
    <t>Hot Water</t>
  </si>
  <si>
    <t>The required information for this section has to be filled up for the calculation linked to this tab to work correctly if there is heat pumps provided. If there is no heat pumps for the project, all inputs must be cleared or input "0" for the quantity of all fittings.</t>
  </si>
  <si>
    <r>
      <t>Type of Development:</t>
    </r>
    <r>
      <rPr>
        <i/>
        <sz val="11"/>
        <color theme="4"/>
        <rFont val="Calibri"/>
        <family val="2"/>
        <scheme val="minor"/>
      </rPr>
      <t xml:space="preserve"> 
[Please choose from drop-down list]</t>
    </r>
  </si>
  <si>
    <t>The flowrate of the fittings shall be determined based on the PUB WELS rating certifications.</t>
  </si>
  <si>
    <t>The assumptions of the frequency of usage of each water fitting types have been fixed for simplicity.</t>
  </si>
  <si>
    <t>Piping heat loss is neglected for sake of simplicity.</t>
  </si>
  <si>
    <t>The water feed temperature and the hot water supply temperature shall be based on the designed value.</t>
  </si>
  <si>
    <t>Assume 40'C for the water temperature required for showers and 60'C for others if details are not available.</t>
  </si>
  <si>
    <t>Energy Efficient Features</t>
  </si>
  <si>
    <t>The required information for this section has to be filled up for the calculation linked to this tab to work correctly if there is energy efficient features provided. If there is no energy efficient features for the project, all inputs must be cleared or input "0" for the quantity of all fittings.</t>
  </si>
  <si>
    <t>The reference energy consumption will be equal to the proposed. i.e. no savings.</t>
  </si>
  <si>
    <t>Heat Load Calculation</t>
  </si>
  <si>
    <t>This is an optional tab or projects to place the E20/IES/DOE or equivalent heat load calculation for the design day and the design week to generate the load profiles.</t>
  </si>
  <si>
    <t>VRVVRFSPlit System Tab</t>
  </si>
  <si>
    <t>This is an optional tab or projects to tabulate the detailed schedule list of the unitary or split systems provided in the project</t>
  </si>
  <si>
    <t>AHU_FCU_PAU Working</t>
  </si>
  <si>
    <t>This is an optional tab or projects to tabulate the detailed schedule list of the air distribution systems provided in the project</t>
  </si>
  <si>
    <t>Project need not follow the suggested template.</t>
  </si>
  <si>
    <t>Target Rating:</t>
  </si>
  <si>
    <t>Project's building cooling load and main cooling system is required for input. The points will be automatically calculated based on the respective total building's cooling system benchmark efficiency.</t>
  </si>
  <si>
    <r>
      <rPr>
        <vertAlign val="superscript"/>
        <sz val="11"/>
        <color theme="1"/>
        <rFont val="Calibri"/>
        <family val="2"/>
        <scheme val="minor"/>
      </rPr>
      <t>#</t>
    </r>
    <r>
      <rPr>
        <sz val="11"/>
        <color theme="1"/>
        <rFont val="Calibri"/>
        <family val="2"/>
        <scheme val="minor"/>
      </rPr>
      <t>Total kW</t>
    </r>
    <r>
      <rPr>
        <vertAlign val="subscript"/>
        <sz val="11"/>
        <color theme="1"/>
        <rFont val="Calibri"/>
        <family val="2"/>
        <scheme val="minor"/>
      </rPr>
      <t xml:space="preserve">adj </t>
    </r>
    <r>
      <rPr>
        <sz val="11"/>
        <color theme="1"/>
        <rFont val="Calibri"/>
        <family val="2"/>
        <scheme val="minor"/>
      </rPr>
      <t>=</t>
    </r>
  </si>
  <si>
    <t>Limit</t>
  </si>
  <si>
    <t>Constant Volume</t>
  </si>
  <si>
    <t>Variable Volume</t>
  </si>
  <si>
    <t>Device</t>
  </si>
  <si>
    <t>Particulate Filtration Credit: MERV 16 and greater and electronically enhanced filters</t>
  </si>
  <si>
    <t>Pressure drop calculated at 2× clean filter pressure drop at fan system design condition</t>
  </si>
  <si>
    <t>Carbon and other gas-phase air cleaners</t>
  </si>
  <si>
    <t>Clean filter pressure drop at fan system design condition</t>
  </si>
  <si>
    <t>Biosafety cabinet</t>
  </si>
  <si>
    <t>Pressure drop of device at fan system design condition</t>
  </si>
  <si>
    <t>Energy recovery device, other than coil runaround loop</t>
  </si>
  <si>
    <t>(550 × Energy Recovery Effectiveness) – 125 Pa for each airstream</t>
  </si>
  <si>
    <t>Coil runaround loop</t>
  </si>
  <si>
    <t>150 Pa for each airstream</t>
  </si>
  <si>
    <t>Evaporative humidifier/cooler in series with another cooling coil</t>
  </si>
  <si>
    <t>Sound attenuation section (fans serving spaces with design background noise goals below NC35)</t>
  </si>
  <si>
    <t>38 Pa</t>
  </si>
  <si>
    <t>Exhaust system serving fume hoods</t>
  </si>
  <si>
    <t>85 Pa</t>
  </si>
  <si>
    <t>Laboratory and vivarium exhaust systems in high-rise buildings</t>
  </si>
  <si>
    <t>60 Pa/30 m of vertical duct exceeding 25 m</t>
  </si>
  <si>
    <t>(Excludes Lighting controls strategy)</t>
  </si>
  <si>
    <t>Excludes lighting controls strategies, which are already takkien into account under the Lighting Power Budget Tab</t>
  </si>
  <si>
    <t>Partial-on occupant sensing control</t>
  </si>
  <si>
    <t>Control Type</t>
  </si>
  <si>
    <t>Total Power per Fitting (W)</t>
  </si>
  <si>
    <t>Allowable Motor Nameplate Power
(W/CMH)</t>
  </si>
  <si>
    <t xml:space="preserve"> Refer to SS 530 :2014 Table 7B for the power adjustment factor(s) </t>
  </si>
  <si>
    <t xml:space="preserve"> Choose from dropdown list the type of lighting control strategy</t>
  </si>
  <si>
    <t>If the the total GFA in the building details table do not tally with the total of the (common + Aircon + non-aircon functional spaces), you'll see an error message "Exceeds 5% tolerance from Total GFA, please check all areas input!" in cell H58. Please review all areas input and amend accordingly. A deviation of less than 5% is acceptable.</t>
  </si>
  <si>
    <t xml:space="preserve">WATER COOLED CHILLED-WATER PLANT or DCS PLANT &amp; AIR DISTRIBUTION SYSTEM </t>
  </si>
  <si>
    <t>WATER COOLED CHILLED-WATER PLANT OR DCS PLANT &amp; AIR DISTRIBUTION SYSTEM SUMMARY</t>
  </si>
  <si>
    <t>Please check the air distribution system efficiency does not exceed 0.25kW/RT for Goldplus and Platinum projects.</t>
  </si>
  <si>
    <t>Notional Building</t>
  </si>
  <si>
    <t>The pre-req will be based on the predominant cooling system, based on the cooling load.</t>
  </si>
  <si>
    <t>Eg. Upper roof Block A</t>
  </si>
  <si>
    <t xml:space="preserve">Eg. Roof Block B </t>
  </si>
  <si>
    <t>Water Cooled Chilled Water</t>
  </si>
  <si>
    <r>
      <t xml:space="preserve">Control strategy and Area
</t>
    </r>
    <r>
      <rPr>
        <b/>
        <i/>
        <sz val="11"/>
        <color theme="1"/>
        <rFont val="Calibri"/>
        <family val="2"/>
        <scheme val="minor"/>
      </rPr>
      <t>[Select from drop-down list]</t>
    </r>
  </si>
  <si>
    <t>e.g. CO sensors</t>
  </si>
  <si>
    <t>eg. Office at level 2-7</t>
  </si>
  <si>
    <t>eg. Sump Pumps</t>
  </si>
  <si>
    <t>eg.Domestic Water system</t>
  </si>
  <si>
    <t>BUILDING DETAILS</t>
  </si>
  <si>
    <t>COMMON AREAS</t>
  </si>
  <si>
    <t>AIR-CONDITIONED FUNCTIONAL AREAS</t>
  </si>
  <si>
    <t>NON-AIR-CONDITIONED FUNCTIONAL AREAS</t>
  </si>
  <si>
    <t>20th April 2016</t>
  </si>
  <si>
    <t>Revised Beta version for Pilot</t>
  </si>
  <si>
    <t>Singapore</t>
  </si>
  <si>
    <t>Other 1</t>
  </si>
  <si>
    <t>Other 2</t>
  </si>
  <si>
    <t>Peak Building Cooling Load &lt;500RT</t>
  </si>
  <si>
    <t>Peak Building Cooling Load 
≥  500 RT</t>
  </si>
  <si>
    <t>Baseline for scoring (Minimum Design System Efficiency (DSE) )</t>
  </si>
  <si>
    <t>Pre-req for Gold Plus 
(Minimum Design System Efficiency (DSE) )</t>
  </si>
  <si>
    <t>Pre-req for Platinum
(Minimum Design System Efficiency (DSE) )</t>
  </si>
  <si>
    <t>Regardless of cooling systems or combination</t>
  </si>
  <si>
    <t>Certified
(Minimum Design System Efficiency (DSE) )</t>
  </si>
  <si>
    <t>Gold 
(Minimum Design System Efficiency (DSE) )</t>
  </si>
  <si>
    <t>Gold Plus
(Minimum Design System Efficiency (DSE) )</t>
  </si>
  <si>
    <t>Platinum
(Minimum Design System Efficiency (DSE) )</t>
  </si>
  <si>
    <t>Peak Building Cooling Load 
&lt;500RT</t>
  </si>
  <si>
    <t>Allowable nameplate motor W/CMH</t>
  </si>
  <si>
    <t>Allowable fan system input Wi/CMH</t>
  </si>
  <si>
    <t xml:space="preserve">Option 1: Fan system motor nameplate </t>
  </si>
  <si>
    <t>Option 2: Fan system input</t>
  </si>
  <si>
    <t>W = maximum combined motor nameplate W</t>
  </si>
  <si>
    <t>A = sum of (PD / 2340)</t>
  </si>
  <si>
    <t>where</t>
  </si>
  <si>
    <r>
      <t xml:space="preserve">CMH = </t>
    </r>
    <r>
      <rPr>
        <sz val="9"/>
        <color rgb="FFFF0000"/>
        <rFont val="Arial"/>
        <family val="2"/>
      </rPr>
      <t>maximum</t>
    </r>
    <r>
      <rPr>
        <sz val="9"/>
        <color theme="1"/>
        <rFont val="Arial"/>
        <family val="2"/>
      </rPr>
      <t xml:space="preserve"> design supply airflow rate to conditioned spaces served by the system in cubic metre per hour</t>
    </r>
  </si>
  <si>
    <r>
      <t xml:space="preserve">Wi = </t>
    </r>
    <r>
      <rPr>
        <sz val="9"/>
        <color rgb="FFFF0000"/>
        <rFont val="Arial"/>
        <family val="2"/>
      </rPr>
      <t xml:space="preserve">maximum </t>
    </r>
    <r>
      <rPr>
        <sz val="9"/>
        <color theme="1"/>
        <rFont val="Arial"/>
        <family val="2"/>
      </rPr>
      <t>combined fan input W</t>
    </r>
  </si>
  <si>
    <r>
      <t>0.42 +</t>
    </r>
    <r>
      <rPr>
        <sz val="11"/>
        <color rgb="FFFF0000"/>
        <rFont val="Arial"/>
        <family val="2"/>
      </rPr>
      <t xml:space="preserve"> A</t>
    </r>
  </si>
  <si>
    <r>
      <t>0.58 +</t>
    </r>
    <r>
      <rPr>
        <sz val="11"/>
        <color rgb="FFFF0000"/>
        <rFont val="Arial"/>
        <family val="2"/>
      </rPr>
      <t xml:space="preserve"> A </t>
    </r>
  </si>
  <si>
    <t>Adjustment (PD)</t>
  </si>
  <si>
    <t>kWadj_working</t>
  </si>
  <si>
    <t>This is an optional tab for projects to tabulate the kWadj for air-side fans for air-conditioning.</t>
  </si>
  <si>
    <t>Option 2 - Input Power</t>
  </si>
  <si>
    <t>Option 1 - Nameplate Power</t>
  </si>
  <si>
    <t>Where</t>
  </si>
  <si>
    <r>
      <t xml:space="preserve">Nameplate motor power </t>
    </r>
    <r>
      <rPr>
        <sz val="11"/>
        <color theme="1"/>
        <rFont val="Calibri"/>
        <family val="2"/>
      </rPr>
      <t xml:space="preserve">≥ 4kW </t>
    </r>
  </si>
  <si>
    <t>Air distribution System Type
 (CAV &amp; VAV)</t>
  </si>
  <si>
    <t>Allowable Motor Input Power 
(Wi/CMH)</t>
  </si>
  <si>
    <r>
      <t xml:space="preserve">CMH = </t>
    </r>
    <r>
      <rPr>
        <sz val="9"/>
        <color rgb="FFFF0000"/>
        <rFont val="Arial"/>
        <family val="2"/>
      </rPr>
      <t xml:space="preserve">maximum </t>
    </r>
    <r>
      <rPr>
        <sz val="9"/>
        <color theme="1"/>
        <rFont val="Arial"/>
        <family val="2"/>
      </rPr>
      <t>design supply airflow rate to unconditioned spaces served by the system in cubic metre per hour</t>
    </r>
  </si>
  <si>
    <r>
      <t xml:space="preserve">Wi = </t>
    </r>
    <r>
      <rPr>
        <sz val="9"/>
        <color rgb="FFFF0000"/>
        <rFont val="Arial"/>
        <family val="2"/>
      </rPr>
      <t>maximum</t>
    </r>
    <r>
      <rPr>
        <sz val="9"/>
        <color theme="1"/>
        <rFont val="Arial"/>
        <family val="2"/>
      </rPr>
      <t xml:space="preserve"> combined fan input W</t>
    </r>
  </si>
  <si>
    <t>+ A</t>
  </si>
  <si>
    <t>PD
(Pa)</t>
  </si>
  <si>
    <t>Daily Average Cooling Load 
(RT)</t>
  </si>
  <si>
    <r>
      <t>Demonstrated savings vs a simplified Notional Building*</t>
    </r>
    <r>
      <rPr>
        <vertAlign val="superscript"/>
        <sz val="11"/>
        <color theme="1"/>
        <rFont val="Calibri"/>
        <family val="2"/>
        <scheme val="minor"/>
      </rPr>
      <t>1</t>
    </r>
  </si>
  <si>
    <t xml:space="preserve">Some of the outputs from dynamic energy modelling can be used within the calculator such as AC efficiency values
</t>
  </si>
  <si>
    <r>
      <t>*</t>
    </r>
    <r>
      <rPr>
        <i/>
        <vertAlign val="superscript"/>
        <sz val="10"/>
        <color theme="1"/>
        <rFont val="Calibri"/>
        <family val="2"/>
        <scheme val="minor"/>
      </rPr>
      <t>1</t>
    </r>
    <r>
      <rPr>
        <i/>
        <sz val="10"/>
        <color theme="1"/>
        <rFont val="Calibri"/>
        <family val="2"/>
        <scheme val="minor"/>
      </rPr>
      <t>Notional Building refers to a building performing at the industrial norm based on actual industrial statistics of the the key performance data.</t>
    </r>
  </si>
  <si>
    <t>The cells with formulas or baseline figures for background calculations are locked from edititing. Users are not to attempt to unlock to overwrite the locked cells.</t>
  </si>
  <si>
    <t>Always start a project with the "Building Data Schedule" tab. The required information for this section must be completed for the calculations to work correctly</t>
  </si>
  <si>
    <r>
      <t xml:space="preserve">All the sheet tabs in </t>
    </r>
    <r>
      <rPr>
        <sz val="11"/>
        <color rgb="FFFFC000"/>
        <rFont val="Calibri"/>
        <family val="2"/>
        <scheme val="minor"/>
      </rPr>
      <t>orange</t>
    </r>
    <r>
      <rPr>
        <sz val="11"/>
        <color theme="1"/>
        <rFont val="Calibri"/>
        <family val="2"/>
        <scheme val="minor"/>
      </rPr>
      <t xml:space="preserve"> are required for users input for completeness of the energy performance calculation of your project.</t>
    </r>
  </si>
  <si>
    <t>Sheet Tabs:</t>
  </si>
  <si>
    <r>
      <rPr>
        <b/>
        <sz val="11"/>
        <rFont val="Calibri"/>
        <family val="2"/>
        <scheme val="minor"/>
      </rPr>
      <t>Start every project with this tab</t>
    </r>
    <r>
      <rPr>
        <sz val="11"/>
        <rFont val="Calibri"/>
        <family val="2"/>
        <scheme val="minor"/>
      </rPr>
      <t>. The required information for this section must be completed for the calculator to function.</t>
    </r>
  </si>
  <si>
    <t>All applicable fields in this table are to be completed</t>
  </si>
  <si>
    <t>Where there is no carpark full points will be scored</t>
  </si>
  <si>
    <t>Currently only non-speculative office spaces within the development are allowed savings, details of the proposed savings are to be suplemented with the use of table provided Else user to input proposed = 11w/m2. Alternative performance based solutions can be discussed with BCA and subject to approval on a case by case basis</t>
  </si>
  <si>
    <t>DCS</t>
  </si>
  <si>
    <t>GENERAL AC INFORMATION</t>
  </si>
  <si>
    <t>Users are to input the aggregated lighting power budget for each listed space types. Working copies of the detailed breakdown shall be provided for assessor checking. The user has an option to insert a new tab within the calculator to insert the detailed breakdownm or they can attach  this seperately</t>
  </si>
  <si>
    <t>Projects can choose to adopt option 1 (Nameplate) or option 2 (input power) for the baseline reference</t>
  </si>
  <si>
    <t>HOT WATER USAGE CALCULATION</t>
  </si>
  <si>
    <t>The Reference COP of the water heater shall be 3.2 for Hotel , and 1 for other domestic hot water purposes.</t>
  </si>
  <si>
    <t>The basis for deriving the oevrall energy consumption and potential energy savings must be made clear and justifiable for consideration. Notwithstanding this, the potential energy savings for the listed systems/ devices are subjected to the cap based on the table provided</t>
  </si>
  <si>
    <t>This table is to cater for all other service equipment provided for the project, to account for the total energy consumption of the project.</t>
  </si>
  <si>
    <t>If there is any energy efficient features for any of the equipment, it can be accounted for and justified under the "Energy Efficient Features" tab</t>
  </si>
  <si>
    <t>For convenience additional tabs have been provided for users to enter in their own data to aid with their calculations or data entry. Additional tabs can be added by the user for this purpose.</t>
  </si>
  <si>
    <t>remove</t>
  </si>
  <si>
    <t>break into Constant flow, variable flow, and calculated flow's kw)</t>
  </si>
  <si>
    <t>PROPOSED IMPROVEMENT OVER NOTIONAL BUILDING (kWh/yr)</t>
  </si>
  <si>
    <t xml:space="preserve">% IMPROVEMENT OVER NOTIONAL BUILDING </t>
  </si>
  <si>
    <t>Notional Car Park</t>
  </si>
  <si>
    <t>Other 3</t>
  </si>
  <si>
    <t>*Design CMH = column H if same value used for motor selection</t>
  </si>
  <si>
    <t>*Designed Flow Rate of the Selected Motor Fan (CMH)</t>
  </si>
  <si>
    <t>Notes:</t>
  </si>
  <si>
    <t>PD = each applicable pressure drop adjustment from Table in "Notes for kWadj" tab,in Pa, where applicable.</t>
  </si>
  <si>
    <t xml:space="preserve">CMH = the design airflow through each applicable device in cubic metre per hour </t>
  </si>
  <si>
    <r>
      <rPr>
        <b/>
        <vertAlign val="superscript"/>
        <sz val="11"/>
        <color theme="1"/>
        <rFont val="Calibri"/>
        <family val="2"/>
        <scheme val="minor"/>
      </rPr>
      <t>#</t>
    </r>
    <r>
      <rPr>
        <b/>
        <sz val="11"/>
        <color theme="1"/>
        <rFont val="Calibri"/>
        <family val="2"/>
        <scheme val="minor"/>
      </rPr>
      <t>Motor Nameplate Power (W)</t>
    </r>
  </si>
  <si>
    <r>
      <rPr>
        <b/>
        <vertAlign val="superscript"/>
        <sz val="11"/>
        <color theme="1"/>
        <rFont val="Calibri"/>
        <family val="2"/>
        <scheme val="minor"/>
      </rPr>
      <t>#</t>
    </r>
    <r>
      <rPr>
        <b/>
        <sz val="11"/>
        <color theme="1"/>
        <rFont val="Calibri"/>
        <family val="2"/>
        <scheme val="minor"/>
      </rPr>
      <t>Motor Input Power (W)</t>
    </r>
  </si>
  <si>
    <r>
      <rPr>
        <vertAlign val="superscript"/>
        <sz val="11"/>
        <color rgb="FFFF0000"/>
        <rFont val="Calibri"/>
        <family val="2"/>
        <scheme val="minor"/>
      </rPr>
      <t>#</t>
    </r>
    <r>
      <rPr>
        <sz val="11"/>
        <color rgb="FFFF0000"/>
        <rFont val="Calibri"/>
        <family val="2"/>
        <scheme val="minor"/>
      </rPr>
      <t>includes jet fan power in centralised fan power</t>
    </r>
  </si>
  <si>
    <t>PD = each applicable pressure drop adjustment from Table below in Pa.</t>
  </si>
  <si>
    <t>CMH = the design airflow through each applicable device from Table below in cubic metre cube per hour</t>
  </si>
  <si>
    <r>
      <t>L/S</t>
    </r>
    <r>
      <rPr>
        <vertAlign val="subscript"/>
        <sz val="9"/>
        <color theme="1"/>
        <rFont val="Arial"/>
        <family val="2"/>
      </rPr>
      <t>D</t>
    </r>
    <r>
      <rPr>
        <sz val="9"/>
        <color theme="1"/>
        <rFont val="Arial"/>
        <family val="2"/>
      </rPr>
      <t xml:space="preserve"> = the design airflow through each applicable device from Table below in litres per second</t>
    </r>
  </si>
  <si>
    <t>Table  – Fan power limitation pressure drop adjustment (Case-by-case acceptance by BCA)</t>
  </si>
  <si>
    <t>For projects to calculate the adjustment to the total building efficiency baseline (case-by-case acceptance by BCA)</t>
  </si>
  <si>
    <t>Note: Piping heat loss is neglected for sake of simplicity ; If there is re-circulation pump,the power should be accounted for under the "service Equipment" tab.</t>
  </si>
  <si>
    <t>For air distribution systems with high pressure drops due to the functional requirements of the system and running at the maximum design flowrate of the individual fan, BCA will permit a fan power pressure drop adjustment based on case-by-case basis. The baseline of total system efficiency (kW/RT) will be adjusted accordingly for compliance. The adjustment kWadj calculation will have to be substantiate with supporitng documentations and calculations out of this calculator for checking. Refer to "Notes for kWadj" tab for table &amp; notes.</t>
  </si>
  <si>
    <t>eg. 5 FCUs, 4 AHU-CAV, 10 AHU-VAV running at this hour</t>
  </si>
  <si>
    <t>*Total Air-side Variable Flow Motor Input Power (KW)</t>
  </si>
  <si>
    <t>Total Air-side Constant Flow Motor Input Power (KW)</t>
  </si>
  <si>
    <t>Total Air-side Motor Input Power (KW)</t>
  </si>
  <si>
    <t>Baseline for Air Conditioning Fan Systems</t>
  </si>
  <si>
    <t>Constant &amp; Variable Volume</t>
  </si>
  <si>
    <t>No Baseline</t>
  </si>
  <si>
    <r>
      <t>0.30 +</t>
    </r>
    <r>
      <rPr>
        <sz val="11"/>
        <color rgb="FFFF0000"/>
        <rFont val="Arial"/>
        <family val="2"/>
      </rPr>
      <t xml:space="preserve"> A </t>
    </r>
  </si>
  <si>
    <t xml:space="preserve"> Total hourly motor input power based on simulation, or design calculation -  fan law to be applied at part load condition for variable flow fan systems.</t>
  </si>
  <si>
    <t>If there is a need to "copy - paste" from another source, please paste as text (Paste Special function) to avoid the cells being locked in some rare case of comapatible issues.</t>
  </si>
  <si>
    <t>Baseline for Mechanical Ventilation Fan Systems (including Carparks)</t>
  </si>
  <si>
    <r>
      <t>Only non-speculative offices spaces are allowed savings from 16w/m</t>
    </r>
    <r>
      <rPr>
        <b/>
        <vertAlign val="superscript"/>
        <sz val="11"/>
        <color theme="1"/>
        <rFont val="Calibri"/>
        <family val="2"/>
        <scheme val="minor"/>
      </rPr>
      <t>2</t>
    </r>
    <r>
      <rPr>
        <b/>
        <sz val="11"/>
        <color theme="1"/>
        <rFont val="Calibri"/>
        <family val="2"/>
        <scheme val="minor"/>
      </rPr>
      <t xml:space="preserve"> ,details of the proposed savings suplemented with the use of table below. Else Reference = Proposed, whichever is higher.</t>
    </r>
  </si>
  <si>
    <t>The centralised fan power input should include jet fans, if applicable</t>
  </si>
  <si>
    <r>
      <rPr>
        <b/>
        <sz val="11"/>
        <color theme="0"/>
        <rFont val="Calibri"/>
        <family val="2"/>
        <scheme val="minor"/>
      </rPr>
      <t>Notes for Path A:</t>
    </r>
    <r>
      <rPr>
        <sz val="11"/>
        <color theme="0"/>
        <rFont val="Calibri"/>
        <family val="2"/>
        <scheme val="minor"/>
      </rPr>
      <t xml:space="preserve">
Please insert DCS efficiency information in Cell G8, according to the DCS plant boundary and definitions. Ignore cells input for Chiller plant system from cell D40 to J63. Cell G7 is optional, if available for information. 
Hourly RT inputs are still required for cell C31 to C54. 
Note: For Path A, DCS plant efficiency have to meet 0.65 kW/RT.</t>
    </r>
  </si>
  <si>
    <t>Cell D40 to J63 can be left blank, if the project is using DCS for the chilled water supply.</t>
  </si>
  <si>
    <t>cap at 2 points</t>
  </si>
  <si>
    <t>cap at 5 points</t>
  </si>
  <si>
    <t>cap at 1 point</t>
  </si>
  <si>
    <t>This is automated once the input for the whole excel has been completed for the project. It provides the score for the relevent indicators under Section 2</t>
  </si>
  <si>
    <t>Energy Spreadsheet_GMV5_R12a</t>
  </si>
  <si>
    <t>Revised Beta version for actual Project testing by consultants
- reflecting changes in lastest SS553:2015</t>
  </si>
  <si>
    <t>9th May 2016</t>
  </si>
  <si>
    <t>Note the tab caters for building air-conditioning total systems efficiency , including DCS systems. Thus the user should be cautious to select the the correct options in the tab and follow the instructions carefully.</t>
  </si>
  <si>
    <t xml:space="preserve"> Total hourly motor input power shall be based on simulation, or design calculation -  fan law to be applied at part load condition for variable flow fan systems.</t>
  </si>
  <si>
    <r>
      <t xml:space="preserve">This is automated once the input for the whole excel has been completed for the project, except for "receptacle". </t>
    </r>
    <r>
      <rPr>
        <b/>
        <sz val="11"/>
        <color theme="1"/>
        <rFont val="Calibri"/>
        <family val="2"/>
        <scheme val="minor"/>
      </rPr>
      <t>User will have to input the proposed receptacle load for the carpark (if any).</t>
    </r>
  </si>
  <si>
    <t>User will have to input the proposed receptacle load for the carpark (if any).</t>
  </si>
  <si>
    <t>Building Energy Performance (SUMMARY)</t>
  </si>
  <si>
    <t>cap at 11 points</t>
  </si>
  <si>
    <t>The required information for this section has to be filled up for the calculation linked to this tab to work correctly. worked examples can be reference from the respective sections in the NRB: 2015 Guidelines under section 2. Building Energy Performance chapter</t>
  </si>
  <si>
    <r>
      <rPr>
        <b/>
        <vertAlign val="superscript"/>
        <sz val="11"/>
        <color theme="1"/>
        <rFont val="Calibri"/>
        <family val="2"/>
        <scheme val="minor"/>
      </rPr>
      <t>#</t>
    </r>
    <r>
      <rPr>
        <b/>
        <sz val="11"/>
        <color theme="1"/>
        <rFont val="Calibri"/>
        <family val="2"/>
        <scheme val="minor"/>
      </rPr>
      <t>Note:</t>
    </r>
  </si>
  <si>
    <t>Water-cooled Chiller Plant</t>
  </si>
  <si>
    <t>Air-cooled Chiller Plant</t>
  </si>
  <si>
    <t>DCS Path A (including gazetted zones) Plant</t>
  </si>
  <si>
    <t>Water Cooled 
(Including air-side)</t>
  </si>
  <si>
    <t>Air Cooled or Unitary/split
(including Air-side)</t>
  </si>
  <si>
    <t xml:space="preserve">Total System Efficency Baseline (Including Air Side) </t>
  </si>
  <si>
    <t xml:space="preserve">AC DSE Baseline (kW/RT) </t>
  </si>
  <si>
    <t>No</t>
  </si>
  <si>
    <t>Energy Spreadsheet_ GM2015_R1</t>
  </si>
  <si>
    <t>eg . ABC rooms</t>
  </si>
  <si>
    <t>Eg. 700 RTx 2 nos, ECWT 29C</t>
  </si>
  <si>
    <t>Revised version for industry release</t>
  </si>
  <si>
    <t>26th August 2016</t>
  </si>
  <si>
    <t>31st August 2016</t>
  </si>
  <si>
    <t>Energy Spreadsheet_ GM2015_R2a</t>
  </si>
  <si>
    <t>Revised industry version 
- minor computation/ equations adjustment
- updated advancecd green efforts scoring for 2.02a</t>
  </si>
  <si>
    <t>Energy Spreadsheet_ GM2015_R2b</t>
  </si>
  <si>
    <t>Revised industry version 
- minor computation/ equations adjustment
- updated  scoring for 2.02c</t>
  </si>
  <si>
    <t>21st September 2016</t>
  </si>
  <si>
    <t>Energy Spreadsheet_ GM2015_R3</t>
  </si>
  <si>
    <t>Revised industry version 
- minor computation/ equations adjustment</t>
  </si>
  <si>
    <r>
      <t xml:space="preserve">For MV systems with high pressure drops due to the functional requirements of the system and running at the </t>
    </r>
    <r>
      <rPr>
        <sz val="11"/>
        <color rgb="FFFF0000"/>
        <rFont val="Calibri"/>
        <family val="2"/>
        <scheme val="minor"/>
      </rPr>
      <t xml:space="preserve">maximum </t>
    </r>
    <r>
      <rPr>
        <sz val="11"/>
        <color theme="1"/>
        <rFont val="Calibri"/>
        <family val="2"/>
        <scheme val="minor"/>
      </rPr>
      <t>design flowrate of the individual fan, BCA will permit a fan power pressure drop adjustment based on case-by-case basis. The baseline of the fan system efficiency (W/CMH) will be adjusted accordingly for compliance. The adjustment A calculation will have to be substantiate with supporitng documentations and/or calculations out of this calculator for checking. 
Fan power limitation pressure drop adjustment is not applicable for the following devices;
&gt; Exhaust air systems
&gt; Exhaust airflow control devices
&gt; Exhaust filters
Refer to "Notes for kWadj" tab for notes.</t>
    </r>
  </si>
  <si>
    <t xml:space="preserve">Particulate Filtration Credit: MERV 15 </t>
  </si>
  <si>
    <t>225 Pa</t>
  </si>
  <si>
    <t>*Note: The total hourly motor input power is based on aggregrate of all constant or variable flow fans operating at this hour.</t>
  </si>
  <si>
    <t xml:space="preserve"> For Variable Fan flow, Part load fan power calculator may be referenced from ASHRAE 90.1, Table G3.1.3.15, Part-Load Performance for VAV Fan Systems or Part-Load Fan Power Equation can be applied</t>
  </si>
  <si>
    <t>Total Air Distribution Energy Consumption (kWh)</t>
  </si>
  <si>
    <t>Total Air Distribution Efficiency  (KW/RT)</t>
  </si>
  <si>
    <t>kWH</t>
  </si>
  <si>
    <t>RTH</t>
  </si>
  <si>
    <t>KWH/RTH</t>
  </si>
  <si>
    <t>Total Energy Consumption (Wh)</t>
  </si>
  <si>
    <t>Water cooled chiller plant efficiency (kW/RT) =</t>
  </si>
  <si>
    <t>kWH/RTH</t>
  </si>
  <si>
    <t>Air cooled chiller plant Efficiency (kW/RT) =</t>
  </si>
  <si>
    <t>Unitary/ Split System Efficiency (kW/RT) =</t>
  </si>
  <si>
    <t>Chiller Plant System /Unitary System Efficiency 
(kW/RT)</t>
  </si>
  <si>
    <t>Total Air Distribution System Efficiency 
(kW/RT)</t>
  </si>
  <si>
    <t>Total Air - Conditioning System Efficiency 
(kW/RT)</t>
  </si>
  <si>
    <t>Reference Total System Efficency (Including Air Side)
( KW/RT)</t>
  </si>
  <si>
    <t>Project are allowed to claim savings for using escalators with energy savings features, up to a cap of 30% savings. Project team must substantiate the savings with relevant documentation proof or calculations, as provided by the escalators suppliers</t>
  </si>
  <si>
    <r>
      <t xml:space="preserve">For air distribution systems with high pressure drops due to the functional requirements of the system and running at the </t>
    </r>
    <r>
      <rPr>
        <i/>
        <sz val="11"/>
        <color rgb="FFFF0000"/>
        <rFont val="Calibri"/>
        <family val="2"/>
        <scheme val="minor"/>
      </rPr>
      <t>maximum</t>
    </r>
    <r>
      <rPr>
        <i/>
        <sz val="11"/>
        <color theme="1"/>
        <rFont val="Calibri"/>
        <family val="2"/>
        <scheme val="minor"/>
      </rPr>
      <t xml:space="preserve"> design flowrate of the individual fan, BCA will permit a fan power pressure drop adjustment based on case-by-case basis. The baseline of total system efficiency (kW/RT) will be adjusted accordingly for compliance. The adjustment kW</t>
    </r>
    <r>
      <rPr>
        <i/>
        <vertAlign val="subscript"/>
        <sz val="11"/>
        <color theme="1"/>
        <rFont val="Calibri"/>
        <family val="2"/>
        <scheme val="minor"/>
      </rPr>
      <t>ad</t>
    </r>
    <r>
      <rPr>
        <i/>
        <sz val="11"/>
        <color theme="1"/>
        <rFont val="Calibri"/>
        <family val="2"/>
        <scheme val="minor"/>
      </rPr>
      <t>j calculation will have to be substantiate with supporitng documentations and calculations out of this calculator for checking. 
Fan power limitation pressure drop adjustment is not applicable for the following devices;
- Return and/or exhaust air systems
- Return and/or exhaust airflow control devices
- Exhaust filters or other exhaust treatment
- Particulate Filtration Credit: MERV 9 – 14
Refer to "</t>
    </r>
    <r>
      <rPr>
        <i/>
        <sz val="11"/>
        <color rgb="FFFF0000"/>
        <rFont val="Calibri"/>
        <family val="2"/>
        <scheme val="minor"/>
      </rPr>
      <t>Notes for kWadj</t>
    </r>
    <r>
      <rPr>
        <i/>
        <sz val="11"/>
        <color theme="1"/>
        <rFont val="Calibri"/>
        <family val="2"/>
        <scheme val="minor"/>
      </rPr>
      <t>" tab for table &amp; notes.</t>
    </r>
  </si>
  <si>
    <t>26th October 2016</t>
  </si>
  <si>
    <t>Energy Spreadsheet_ GM2015_R3.01</t>
  </si>
  <si>
    <t xml:space="preserve">Current Version </t>
  </si>
  <si>
    <t xml:space="preserve">  </t>
  </si>
  <si>
    <t xml:space="preserve">9th June 2017 </t>
  </si>
  <si>
    <t>Energy Spreadsheet_ GM2015_R3.02</t>
  </si>
  <si>
    <t>9th June 2017</t>
  </si>
  <si>
    <t>Energy Spreadsheet_ GM2015_R3.03</t>
  </si>
  <si>
    <t>12th March 2018</t>
  </si>
  <si>
    <t>Energy Spreadsheet_ GM2015_R3.04</t>
  </si>
  <si>
    <t>Revised industry version 
- included DCS consideration</t>
  </si>
  <si>
    <t>Path A</t>
  </si>
  <si>
    <t>Path B</t>
  </si>
  <si>
    <t>Baseline Pump Efficiency</t>
  </si>
  <si>
    <t>Proposed Pump Efficiency</t>
  </si>
  <si>
    <t>POINTS SCORED FOR 2.1(a)</t>
  </si>
  <si>
    <t>Customer's Pump after DCS heat exchanger</t>
  </si>
  <si>
    <t>POINTS SCORED FOR 2.1(b)</t>
  </si>
  <si>
    <t>POINTS SCORED FOR 2.1(c)</t>
  </si>
  <si>
    <t>2.1(d) - RECEPTACLE LOAD</t>
  </si>
  <si>
    <t>2.1(d) RECEPTACLE LOAD EFFICIENCY</t>
  </si>
  <si>
    <t xml:space="preserve">2.2(a) - BUILDING ENERGY </t>
  </si>
  <si>
    <t xml:space="preserve">2.1(e) - BUILDING ENERGY </t>
  </si>
  <si>
    <t>2.2(c) - PROVISION OF PHOTOVOLTAICS</t>
  </si>
  <si>
    <t>2.2(c) - PROVISION OF PHOTOVOLTAICS (Advanced Green Efforts for Additional Replacement energy)</t>
  </si>
  <si>
    <t>Operating Hours/Week</t>
  </si>
  <si>
    <t>Operating Hours/Year</t>
  </si>
  <si>
    <t>GFA</t>
  </si>
  <si>
    <t>≥ 220</t>
  </si>
  <si>
    <r>
      <t xml:space="preserve">50 </t>
    </r>
    <r>
      <rPr>
        <sz val="11"/>
        <color theme="1"/>
        <rFont val="Calibri"/>
        <family val="2"/>
      </rPr>
      <t>≤ EUI &lt; 220</t>
    </r>
  </si>
  <si>
    <t>&lt; 50</t>
  </si>
  <si>
    <t xml:space="preserve">Points Scored for 2.2(c) </t>
  </si>
  <si>
    <t>Points Scored for 2.2(c) AGE</t>
  </si>
  <si>
    <t>ANNUAL YIELD (kWh/yr)</t>
  </si>
  <si>
    <r>
      <t>EUI Range (kWh/yr/m</t>
    </r>
    <r>
      <rPr>
        <b/>
        <vertAlign val="superscript"/>
        <sz val="11"/>
        <color theme="1"/>
        <rFont val="Calibri"/>
        <family val="2"/>
        <scheme val="minor"/>
      </rPr>
      <t>2</t>
    </r>
    <r>
      <rPr>
        <b/>
        <sz val="11"/>
        <color theme="1"/>
        <rFont val="Calibri"/>
        <family val="2"/>
        <scheme val="minor"/>
      </rPr>
      <t>)</t>
    </r>
  </si>
  <si>
    <r>
      <t>EUI (kWh/m</t>
    </r>
    <r>
      <rPr>
        <b/>
        <vertAlign val="superscript"/>
        <sz val="11"/>
        <color theme="1"/>
        <rFont val="Calibri"/>
        <family val="2"/>
        <scheme val="minor"/>
      </rPr>
      <t>2</t>
    </r>
    <r>
      <rPr>
        <b/>
        <sz val="11"/>
        <color theme="1"/>
        <rFont val="Calibri"/>
        <family val="2"/>
        <scheme val="minor"/>
      </rPr>
      <t>/yr)</t>
    </r>
  </si>
  <si>
    <t>Air Cooled Chilled Water</t>
  </si>
  <si>
    <t>VRV/VRF</t>
  </si>
  <si>
    <t>Split System</t>
  </si>
  <si>
    <t>Combination of Systems</t>
  </si>
  <si>
    <t>Proposed Yearly Energy Consumption (kWh/yr)</t>
  </si>
  <si>
    <t>Reference Yearly Energy Consumption (kWh/yr)</t>
  </si>
  <si>
    <t>Weekly Operating Hours</t>
  </si>
  <si>
    <t>2.1(c) - CARPARK ENERGY</t>
  </si>
  <si>
    <t>Design Fan Power Consumption (kWh/yr)</t>
  </si>
  <si>
    <t>Reference Fan Power Consumption (kWh/yr)</t>
  </si>
  <si>
    <t>Operating hours per week (if differ from main operating hours)</t>
  </si>
  <si>
    <t>ADVANCED GREEN EFFORTS POINTS SCORED FOR 2.1(e)</t>
  </si>
  <si>
    <t>POINTS SCORED FOR 2.1(e)</t>
  </si>
  <si>
    <t>POINTS SCORED FOR 2.1(d)</t>
  </si>
  <si>
    <t>This Excel Based calculator is used to auto generate the points for scoring of Option 1: Energy Performance Points Calculator in NRB: 2015. Computation for Option 2: Performance-Based Computation does not require the use of this excel, but may use this excel as reference.</t>
  </si>
  <si>
    <t>ACMV 2.1a</t>
  </si>
  <si>
    <t>Lighting Power Budget 2.1b</t>
  </si>
  <si>
    <t>Car Park 2.1c</t>
  </si>
  <si>
    <t>Receptacle Load 2.1d</t>
  </si>
  <si>
    <t>Building Energy 2.1e</t>
  </si>
  <si>
    <t>Renewable Energy 2.2c</t>
  </si>
  <si>
    <t>Please choose from the drop-down list "yes path A" or "yes path B", if the project is adopting DCS for the chilled water supply. Refer to NRB: 2015 2.1a for definition of DCS path A or path B.</t>
  </si>
  <si>
    <t>Please follow the recommended operational hours to ascertain the DSE, as per stated in P.4 of the NRB: 2015 criteria.</t>
  </si>
  <si>
    <t>Refer to section 2.1a of the NRB: 2015 Guidelines for worked examples.</t>
  </si>
  <si>
    <t>Worked examples can be reference from section 2.1b in the NRB: 2015 Guidelines.</t>
  </si>
  <si>
    <t xml:space="preserve"> worked examples can be reference from section 2.1b in the NRB: 2015 Guidelines</t>
  </si>
  <si>
    <t>2.3(c) - PROVISION OF PHOTOVOLTAICS</t>
  </si>
  <si>
    <t>Refer to the work examples and explaination in the NRB: 2015 criteria Guideline under section 2.3 ( c)</t>
  </si>
  <si>
    <t>The energy savings under this table will be accounted for in the energy efficient features in the 2.1(e) - BUILDING ENERGY table of this table (under "Building Energy 2.1e" tab)</t>
  </si>
  <si>
    <t>Projects must refer to the minimum pre-requisite benchmark for the respective ratings under P.4 &amp; section 2.1a of the NRB: 2015 criteria.</t>
  </si>
  <si>
    <t>The energy savings under this table will be accounted for in the proposed lighting energy consumption in the 2.1(e) - BUILDING ENERGY table of this table (under "Section 2 scoring" tab)</t>
  </si>
  <si>
    <t>2.1(a) Air Conditioning Total System Efficiency</t>
  </si>
  <si>
    <t>2.1(b) Lighting System Efficiency</t>
  </si>
  <si>
    <t>2.1(c) Carpark System Efficiency</t>
  </si>
  <si>
    <t>2.1(d) Receptacle Load Efficiency</t>
  </si>
  <si>
    <t>2.1(e) Building Energy</t>
  </si>
  <si>
    <t>2.2(c) Adoption of Renewable Energy</t>
  </si>
  <si>
    <t>2.1a Air conditioning Total System Efficiency</t>
  </si>
  <si>
    <t>Notes for Path B:
The efficiency of the DCS plant shall be excluded from for scoring methodology.  Points scored in section 2.1a Air Conditioning System Efficiency will be pro-rated based on air distribution system efficiency. 
Please insert DCS efficiency information in Cell G8, if available.
Cell G7 is optional, if available for information.
Ignore cells input for Chiller plant system from cell D40 to J63. 
Hourly RT inputs are still required for cell C40 to C63.</t>
  </si>
  <si>
    <t>2.2(c) - PROVISION OF PHOTOVOLTAICS (Advanced Green Efforts for Low to Zero Energy Building)</t>
  </si>
  <si>
    <t>26th December 2018</t>
  </si>
  <si>
    <t>Gym &amp; Physical areas</t>
  </si>
  <si>
    <t>Store</t>
  </si>
  <si>
    <t>Pantry</t>
  </si>
  <si>
    <t>No provision of CO sensor</t>
  </si>
  <si>
    <r>
      <t>Occupant sensing controls (≤12 m</t>
    </r>
    <r>
      <rPr>
        <vertAlign val="superscript"/>
        <sz val="9"/>
        <color rgb="FFFF0000"/>
        <rFont val="Arial"/>
        <family val="2"/>
      </rPr>
      <t>2</t>
    </r>
    <r>
      <rPr>
        <sz val="9"/>
        <color rgb="FFFF0000"/>
        <rFont val="Arial"/>
        <family val="2"/>
      </rPr>
      <t>) in open plan office</t>
    </r>
  </si>
  <si>
    <r>
      <t>Occupant sensing controls   (12-25 m</t>
    </r>
    <r>
      <rPr>
        <vertAlign val="superscript"/>
        <sz val="9"/>
        <color rgb="FFFF0000"/>
        <rFont val="Arial"/>
        <family val="2"/>
      </rPr>
      <t>2</t>
    </r>
    <r>
      <rPr>
        <sz val="9"/>
        <color rgb="FFFF0000"/>
        <rFont val="Arial"/>
        <family val="2"/>
      </rPr>
      <t>) in open plan office</t>
    </r>
  </si>
  <si>
    <r>
      <t>Occupant sensing controls   (25-50 m</t>
    </r>
    <r>
      <rPr>
        <vertAlign val="superscript"/>
        <sz val="9"/>
        <color rgb="FFFF0000"/>
        <rFont val="Arial"/>
        <family val="2"/>
      </rPr>
      <t>2</t>
    </r>
    <r>
      <rPr>
        <sz val="9"/>
        <color rgb="FFFF0000"/>
        <rFont val="Arial"/>
        <family val="2"/>
      </rPr>
      <t>) in open plan office</t>
    </r>
  </si>
  <si>
    <t>Energy Spreadsheet_ GM2015_R3.05</t>
  </si>
  <si>
    <t>Revised industry version 
- formula corrections and linked cells</t>
  </si>
  <si>
    <t>Peak Daily Cooling Consumption (RT)</t>
  </si>
  <si>
    <t>Type Project Name here</t>
  </si>
  <si>
    <t xml:space="preserve">GM           /     /20   </t>
  </si>
  <si>
    <t>[Select from list]</t>
  </si>
  <si>
    <t>ABC Building</t>
  </si>
  <si>
    <t>Blk 1, Road 2 Ave 3</t>
  </si>
  <si>
    <t>Eg. Open Plan office/Retail/others- foodcourt</t>
  </si>
  <si>
    <t>Pls enter 0 for no carpark area to score point</t>
  </si>
  <si>
    <t>Eg. Lighting &amp; fan Schedule</t>
  </si>
  <si>
    <t>eg B1</t>
  </si>
  <si>
    <t>car park for office</t>
  </si>
  <si>
    <t>eg basement 1</t>
  </si>
  <si>
    <t>eg toilets</t>
  </si>
  <si>
    <t>1st Feb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</si>
</sst>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00_);_(* \(#,##0.00\);_(* &quot;-&quot;??_);_(@_)"/>
    <numFmt numFmtId="165" formatCode="_(* #,##0_);_(* \(#,##0\);_(* &quot;-&quot;??_);_(@_)"/>
    <numFmt numFmtId="166" formatCode="0.0%"/>
    <numFmt numFmtId="167" formatCode="[$-F400]h:mm:ss\ AM/PM"/>
    <numFmt numFmtId="168" formatCode="0.0"/>
    <numFmt numFmtId="169" formatCode="0.000"/>
    <numFmt numFmtId="170" formatCode="_(* #,##0.000_);_(* \(#,##0.000\);_(* &quot;-&quot;??_);_(@_)"/>
    <numFmt numFmtId="171" formatCode="_-* #,##0_-;\-* #,##0_-;_-* &quot;-&quot;??_-;_-@_-"/>
    <numFmt numFmtId="172" formatCode="0.0000"/>
  </numFmts>
  <fonts count="62" x14ac:knownFonts="1">
    <font>
      <sz val="11"/>
      <color theme="1"/>
      <name val="Calibri"/>
      <family val="2"/>
      <scheme val="minor"/>
    </font>
    <font>
      <sz val="11"/>
      <color theme="1"/>
      <name val="Calibri"/>
      <family val="2"/>
      <scheme val="minor"/>
    </font>
    <font>
      <sz val="10"/>
      <name val="Arial"/>
      <family val="2"/>
    </font>
    <font>
      <sz val="11"/>
      <color rgb="FFFF0000"/>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i/>
      <sz val="11"/>
      <name val="Calibri"/>
      <family val="2"/>
      <scheme val="minor"/>
    </font>
    <font>
      <i/>
      <sz val="11"/>
      <color theme="1"/>
      <name val="Calibri"/>
      <family val="2"/>
      <scheme val="minor"/>
    </font>
    <font>
      <b/>
      <sz val="12"/>
      <color theme="1"/>
      <name val="Calibri"/>
      <family val="2"/>
      <scheme val="minor"/>
    </font>
    <font>
      <b/>
      <sz val="12"/>
      <color theme="0"/>
      <name val="Calibri"/>
      <family val="2"/>
      <scheme val="minor"/>
    </font>
    <font>
      <b/>
      <sz val="11"/>
      <color theme="1"/>
      <name val="Calibri"/>
      <family val="2"/>
    </font>
    <font>
      <b/>
      <vertAlign val="superscript"/>
      <sz val="11"/>
      <color theme="1"/>
      <name val="Calibri"/>
      <family val="2"/>
      <scheme val="minor"/>
    </font>
    <font>
      <b/>
      <u/>
      <sz val="11"/>
      <color theme="1"/>
      <name val="Calibri"/>
      <family val="2"/>
      <scheme val="minor"/>
    </font>
    <font>
      <b/>
      <sz val="12"/>
      <name val="Calibri"/>
      <family val="2"/>
      <scheme val="minor"/>
    </font>
    <font>
      <b/>
      <sz val="11"/>
      <color theme="0"/>
      <name val="Calibri"/>
      <family val="2"/>
      <scheme val="minor"/>
    </font>
    <font>
      <b/>
      <sz val="9"/>
      <color theme="1"/>
      <name val="Arial"/>
      <family val="2"/>
    </font>
    <font>
      <sz val="9"/>
      <color theme="1"/>
      <name val="Arial"/>
      <family val="2"/>
    </font>
    <font>
      <vertAlign val="superscript"/>
      <sz val="9"/>
      <color theme="1"/>
      <name val="Arial"/>
      <family val="2"/>
    </font>
    <font>
      <sz val="9"/>
      <color theme="1"/>
      <name val="Symbol"/>
      <family val="1"/>
      <charset val="2"/>
    </font>
    <font>
      <sz val="7"/>
      <color theme="1"/>
      <name val="Times New Roman"/>
      <family val="1"/>
    </font>
    <font>
      <sz val="9"/>
      <color theme="1"/>
      <name val="Calibri"/>
      <family val="2"/>
    </font>
    <font>
      <sz val="10"/>
      <color theme="1"/>
      <name val="Calibri"/>
      <family val="2"/>
      <scheme val="minor"/>
    </font>
    <font>
      <i/>
      <sz val="10"/>
      <color theme="1"/>
      <name val="Calibri"/>
      <family val="2"/>
      <scheme val="minor"/>
    </font>
    <font>
      <u/>
      <sz val="10"/>
      <color theme="1"/>
      <name val="Calibri"/>
      <family val="2"/>
      <scheme val="minor"/>
    </font>
    <font>
      <b/>
      <sz val="10"/>
      <name val="Arial"/>
      <family val="2"/>
    </font>
    <font>
      <b/>
      <sz val="9"/>
      <color indexed="81"/>
      <name val="Tahoma"/>
      <family val="2"/>
    </font>
    <font>
      <sz val="9"/>
      <color indexed="81"/>
      <name val="Tahoma"/>
      <family val="2"/>
    </font>
    <font>
      <sz val="11"/>
      <color theme="1"/>
      <name val="Calibri"/>
      <family val="2"/>
    </font>
    <font>
      <b/>
      <u/>
      <sz val="12"/>
      <name val="Calibri"/>
      <family val="2"/>
      <scheme val="minor"/>
    </font>
    <font>
      <i/>
      <sz val="8"/>
      <color rgb="FFFF0000"/>
      <name val="Calibri"/>
      <family val="2"/>
      <scheme val="minor"/>
    </font>
    <font>
      <b/>
      <i/>
      <sz val="11"/>
      <color theme="1"/>
      <name val="Calibri"/>
      <family val="2"/>
      <scheme val="minor"/>
    </font>
    <font>
      <i/>
      <sz val="11"/>
      <color rgb="FFFF0000"/>
      <name val="Calibri"/>
      <family val="2"/>
      <scheme val="minor"/>
    </font>
    <font>
      <b/>
      <sz val="11"/>
      <color rgb="FFFF0000"/>
      <name val="Calibri"/>
      <family val="2"/>
      <scheme val="minor"/>
    </font>
    <font>
      <vertAlign val="superscript"/>
      <sz val="11"/>
      <color theme="1"/>
      <name val="Calibri"/>
      <family val="2"/>
      <scheme val="minor"/>
    </font>
    <font>
      <sz val="11"/>
      <color theme="3" tint="0.59999389629810485"/>
      <name val="Calibri"/>
      <family val="2"/>
      <scheme val="minor"/>
    </font>
    <font>
      <b/>
      <i/>
      <sz val="11"/>
      <color theme="4"/>
      <name val="Calibri"/>
      <family val="2"/>
      <scheme val="minor"/>
    </font>
    <font>
      <i/>
      <sz val="11"/>
      <color theme="4"/>
      <name val="Calibri"/>
      <family val="2"/>
      <scheme val="minor"/>
    </font>
    <font>
      <sz val="11"/>
      <color rgb="FFFFC000"/>
      <name val="Calibri"/>
      <family val="2"/>
      <scheme val="minor"/>
    </font>
    <font>
      <i/>
      <sz val="11"/>
      <color theme="0"/>
      <name val="Calibri"/>
      <family val="2"/>
      <scheme val="minor"/>
    </font>
    <font>
      <vertAlign val="subscript"/>
      <sz val="11"/>
      <color theme="1"/>
      <name val="Calibri"/>
      <family val="2"/>
      <scheme val="minor"/>
    </font>
    <font>
      <b/>
      <sz val="10"/>
      <color theme="1"/>
      <name val="Arial"/>
      <family val="2"/>
    </font>
    <font>
      <b/>
      <sz val="11"/>
      <color theme="1"/>
      <name val="Arial"/>
      <family val="2"/>
    </font>
    <font>
      <sz val="11"/>
      <color theme="1"/>
      <name val="Arial"/>
      <family val="2"/>
    </font>
    <font>
      <vertAlign val="subscript"/>
      <sz val="9"/>
      <color theme="1"/>
      <name val="Arial"/>
      <family val="2"/>
    </font>
    <font>
      <b/>
      <sz val="11"/>
      <color rgb="FF215868"/>
      <name val="Arial"/>
      <family val="2"/>
    </font>
    <font>
      <b/>
      <sz val="10"/>
      <color rgb="FF215868"/>
      <name val="Arial"/>
      <family val="2"/>
    </font>
    <font>
      <sz val="11"/>
      <color rgb="FFFF0000"/>
      <name val="Arial"/>
      <family val="2"/>
    </font>
    <font>
      <sz val="8"/>
      <color theme="1"/>
      <name val="Calibri"/>
      <family val="2"/>
      <scheme val="minor"/>
    </font>
    <font>
      <sz val="9"/>
      <color theme="1"/>
      <name val="Calibri"/>
      <family val="2"/>
      <scheme val="minor"/>
    </font>
    <font>
      <sz val="9"/>
      <color rgb="FFFF0000"/>
      <name val="Arial"/>
      <family val="2"/>
    </font>
    <font>
      <i/>
      <vertAlign val="superscript"/>
      <sz val="10"/>
      <color theme="1"/>
      <name val="Calibri"/>
      <family val="2"/>
      <scheme val="minor"/>
    </font>
    <font>
      <i/>
      <vertAlign val="subscript"/>
      <sz val="11"/>
      <color theme="1"/>
      <name val="Calibri"/>
      <family val="2"/>
      <scheme val="minor"/>
    </font>
    <font>
      <vertAlign val="superscript"/>
      <sz val="11"/>
      <color rgb="FFFF0000"/>
      <name val="Calibri"/>
      <family val="2"/>
      <scheme val="minor"/>
    </font>
    <font>
      <sz val="11"/>
      <color theme="4" tint="0.59999389629810485"/>
      <name val="Calibri"/>
      <family val="2"/>
      <scheme val="minor"/>
    </font>
    <font>
      <i/>
      <sz val="11"/>
      <color theme="3"/>
      <name val="Calibri"/>
      <family val="2"/>
      <scheme val="minor"/>
    </font>
    <font>
      <b/>
      <sz val="10"/>
      <color theme="0"/>
      <name val="Arial"/>
      <family val="2"/>
    </font>
    <font>
      <sz val="10"/>
      <color theme="0"/>
      <name val="Arial"/>
      <family val="2"/>
    </font>
    <font>
      <b/>
      <sz val="11"/>
      <color theme="0"/>
      <name val="Arial"/>
      <family val="2"/>
    </font>
    <font>
      <u/>
      <sz val="11"/>
      <color theme="10"/>
      <name val="Calibri"/>
      <family val="2"/>
      <scheme val="minor"/>
    </font>
    <font>
      <vertAlign val="superscript"/>
      <sz val="9"/>
      <color rgb="FFFF0000"/>
      <name val="Arial"/>
      <family val="2"/>
    </font>
  </fonts>
  <fills count="23">
    <fill>
      <patternFill patternType="none"/>
    </fill>
    <fill>
      <patternFill patternType="gray125"/>
    </fill>
    <fill>
      <patternFill patternType="solid">
        <fgColor theme="1"/>
        <bgColor indexed="64"/>
      </patternFill>
    </fill>
    <fill>
      <patternFill patternType="solid">
        <fgColor rgb="FF99FF6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3"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FE389"/>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4" tint="0.59999389629810485"/>
        <bgColor indexed="64"/>
      </patternFill>
    </fill>
  </fills>
  <borders count="9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style="medium">
        <color auto="1"/>
      </top>
      <bottom/>
      <diagonal/>
    </border>
    <border>
      <left style="medium">
        <color auto="1"/>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auto="1"/>
      </top>
      <bottom style="medium">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auto="1"/>
      </top>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bottom style="thin">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auto="1"/>
      </right>
      <top style="medium">
        <color indexed="64"/>
      </top>
      <bottom/>
      <diagonal/>
    </border>
    <border>
      <left/>
      <right style="thin">
        <color auto="1"/>
      </right>
      <top/>
      <bottom style="medium">
        <color auto="1"/>
      </bottom>
      <diagonal/>
    </border>
    <border>
      <left style="thin">
        <color auto="1"/>
      </left>
      <right style="thin">
        <color indexed="64"/>
      </right>
      <top/>
      <bottom/>
      <diagonal/>
    </border>
    <border>
      <left style="thin">
        <color auto="1"/>
      </left>
      <right style="medium">
        <color indexed="64"/>
      </right>
      <top/>
      <bottom/>
      <diagonal/>
    </border>
    <border>
      <left style="medium">
        <color indexed="64"/>
      </left>
      <right style="thin">
        <color indexed="64"/>
      </right>
      <top/>
      <bottom/>
      <diagonal/>
    </border>
    <border>
      <left/>
      <right style="medium">
        <color auto="1"/>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thin">
        <color auto="1"/>
      </left>
      <right/>
      <top/>
      <bottom style="thin">
        <color auto="1"/>
      </bottom>
      <diagonal/>
    </border>
    <border>
      <left style="medium">
        <color indexed="64"/>
      </left>
      <right style="medium">
        <color indexed="64"/>
      </right>
      <top/>
      <bottom style="thin">
        <color auto="1"/>
      </bottom>
      <diagonal/>
    </border>
    <border>
      <left/>
      <right/>
      <top style="thin">
        <color auto="1"/>
      </top>
      <bottom style="medium">
        <color indexed="64"/>
      </bottom>
      <diagonal/>
    </border>
    <border>
      <left style="thin">
        <color auto="1"/>
      </left>
      <right/>
      <top style="medium">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thin">
        <color auto="1"/>
      </bottom>
      <diagonal/>
    </border>
    <border>
      <left style="medium">
        <color indexed="64"/>
      </left>
      <right style="medium">
        <color indexed="64"/>
      </right>
      <top style="thin">
        <color auto="1"/>
      </top>
      <bottom/>
      <diagonal/>
    </border>
    <border>
      <left/>
      <right style="medium">
        <color auto="1"/>
      </right>
      <top style="thin">
        <color auto="1"/>
      </top>
      <bottom/>
      <diagonal/>
    </border>
    <border>
      <left/>
      <right/>
      <top style="thin">
        <color indexed="64"/>
      </top>
      <bottom style="thin">
        <color auto="1"/>
      </bottom>
      <diagonal/>
    </border>
    <border>
      <left style="thin">
        <color auto="1"/>
      </left>
      <right style="thin">
        <color auto="1"/>
      </right>
      <top style="thick">
        <color theme="5"/>
      </top>
      <bottom style="thin">
        <color auto="1"/>
      </bottom>
      <diagonal/>
    </border>
    <border>
      <left style="thin">
        <color auto="1"/>
      </left>
      <right style="thick">
        <color theme="5"/>
      </right>
      <top style="thick">
        <color theme="5"/>
      </top>
      <bottom style="thin">
        <color auto="1"/>
      </bottom>
      <diagonal/>
    </border>
    <border>
      <left style="thin">
        <color auto="1"/>
      </left>
      <right style="thick">
        <color theme="5"/>
      </right>
      <top style="thin">
        <color auto="1"/>
      </top>
      <bottom style="thin">
        <color auto="1"/>
      </bottom>
      <diagonal/>
    </border>
    <border>
      <left style="thin">
        <color auto="1"/>
      </left>
      <right style="thin">
        <color auto="1"/>
      </right>
      <top style="thin">
        <color auto="1"/>
      </top>
      <bottom style="thick">
        <color theme="5"/>
      </bottom>
      <diagonal/>
    </border>
    <border>
      <left style="thin">
        <color auto="1"/>
      </left>
      <right style="thick">
        <color theme="5"/>
      </right>
      <top style="thin">
        <color auto="1"/>
      </top>
      <bottom style="thick">
        <color theme="5"/>
      </bottom>
      <diagonal/>
    </border>
    <border>
      <left style="medium">
        <color auto="1"/>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right/>
      <top/>
      <bottom style="thin">
        <color auto="1"/>
      </bottom>
      <diagonal/>
    </border>
    <border>
      <left style="thick">
        <color theme="5"/>
      </left>
      <right style="thin">
        <color auto="1"/>
      </right>
      <top style="thick">
        <color theme="5"/>
      </top>
      <bottom style="thin">
        <color auto="1"/>
      </bottom>
      <diagonal/>
    </border>
    <border>
      <left style="thick">
        <color theme="5"/>
      </left>
      <right style="thin">
        <color auto="1"/>
      </right>
      <top style="thin">
        <color auto="1"/>
      </top>
      <bottom style="thin">
        <color auto="1"/>
      </bottom>
      <diagonal/>
    </border>
    <border>
      <left style="thick">
        <color theme="5"/>
      </left>
      <right style="thin">
        <color auto="1"/>
      </right>
      <top style="thin">
        <color auto="1"/>
      </top>
      <bottom style="thick">
        <color theme="5"/>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2" fillId="0" borderId="0"/>
    <xf numFmtId="0" fontId="1" fillId="0" borderId="0"/>
    <xf numFmtId="0" fontId="60" fillId="0" borderId="0" applyNumberFormat="0" applyFill="0" applyBorder="0" applyAlignment="0" applyProtection="0"/>
  </cellStyleXfs>
  <cellXfs count="1200">
    <xf numFmtId="0" fontId="0" fillId="0" borderId="0" xfId="0"/>
    <xf numFmtId="0" fontId="1" fillId="0" borderId="0" xfId="0" applyFont="1" applyBorder="1" applyAlignment="1">
      <alignment vertical="center"/>
    </xf>
    <xf numFmtId="0" fontId="0" fillId="0" borderId="0" xfId="0" applyAlignment="1">
      <alignment wrapText="1"/>
    </xf>
    <xf numFmtId="0" fontId="0" fillId="0" borderId="0" xfId="0" applyAlignment="1"/>
    <xf numFmtId="0" fontId="0" fillId="0" borderId="5" xfId="0" applyBorder="1" applyAlignment="1">
      <alignment horizontal="center" vertical="center"/>
    </xf>
    <xf numFmtId="0" fontId="0" fillId="0" borderId="0" xfId="0" applyBorder="1"/>
    <xf numFmtId="0" fontId="0" fillId="0" borderId="5" xfId="0" applyBorder="1"/>
    <xf numFmtId="0" fontId="10" fillId="0" borderId="0" xfId="0" applyFont="1"/>
    <xf numFmtId="0" fontId="0" fillId="0" borderId="0" xfId="0" applyBorder="1" applyAlignment="1">
      <alignment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0" borderId="0" xfId="0" applyFont="1" applyBorder="1"/>
    <xf numFmtId="0" fontId="0" fillId="0" borderId="1" xfId="0" applyBorder="1"/>
    <xf numFmtId="0" fontId="0" fillId="0" borderId="3" xfId="0" applyBorder="1"/>
    <xf numFmtId="0" fontId="0" fillId="0" borderId="4" xfId="0" applyBorder="1"/>
    <xf numFmtId="0" fontId="0" fillId="0" borderId="6" xfId="0" applyBorder="1"/>
    <xf numFmtId="0" fontId="0" fillId="0" borderId="12" xfId="0" applyBorder="1"/>
    <xf numFmtId="0" fontId="0" fillId="0" borderId="13" xfId="0" applyBorder="1"/>
    <xf numFmtId="0" fontId="0" fillId="0" borderId="14" xfId="0" applyBorder="1"/>
    <xf numFmtId="0" fontId="11" fillId="2" borderId="0" xfId="0" applyFont="1" applyFill="1"/>
    <xf numFmtId="0" fontId="1" fillId="0" borderId="0" xfId="0" applyFont="1"/>
    <xf numFmtId="0" fontId="7" fillId="0" borderId="0" xfId="4" applyFont="1" applyFill="1" applyBorder="1" applyAlignment="1" applyProtection="1">
      <alignment horizontal="right" vertical="center"/>
    </xf>
    <xf numFmtId="0" fontId="0" fillId="0" borderId="12" xfId="0" applyBorder="1" applyAlignment="1">
      <alignment wrapText="1"/>
    </xf>
    <xf numFmtId="0" fontId="0" fillId="0" borderId="0" xfId="0" applyFont="1"/>
    <xf numFmtId="164" fontId="0" fillId="0" borderId="0" xfId="0" applyNumberFormat="1" applyBorder="1" applyAlignment="1">
      <alignment horizontal="center"/>
    </xf>
    <xf numFmtId="0" fontId="0" fillId="0" borderId="4" xfId="0" applyBorder="1" applyAlignment="1">
      <alignment wrapText="1"/>
    </xf>
    <xf numFmtId="0" fontId="0" fillId="5" borderId="4" xfId="0" applyFill="1" applyBorder="1" applyAlignment="1">
      <alignment vertical="center"/>
    </xf>
    <xf numFmtId="0" fontId="0" fillId="5" borderId="12" xfId="0" applyFill="1" applyBorder="1" applyAlignment="1">
      <alignment vertical="center" wrapText="1"/>
    </xf>
    <xf numFmtId="0" fontId="0" fillId="5" borderId="4" xfId="0" applyFont="1" applyFill="1" applyBorder="1"/>
    <xf numFmtId="0" fontId="0" fillId="0" borderId="0" xfId="0" applyAlignment="1">
      <alignment vertical="center"/>
    </xf>
    <xf numFmtId="0" fontId="4" fillId="0" borderId="0" xfId="0" applyFont="1"/>
    <xf numFmtId="0" fontId="0" fillId="0" borderId="50" xfId="0" applyBorder="1"/>
    <xf numFmtId="0" fontId="0" fillId="0" borderId="51" xfId="0" applyBorder="1"/>
    <xf numFmtId="0" fontId="0" fillId="5" borderId="1" xfId="0" applyFill="1" applyBorder="1"/>
    <xf numFmtId="0" fontId="0" fillId="5" borderId="4" xfId="0" applyFill="1" applyBorder="1"/>
    <xf numFmtId="0" fontId="0" fillId="5" borderId="12" xfId="0" applyFill="1" applyBorder="1"/>
    <xf numFmtId="0" fontId="4" fillId="5" borderId="1" xfId="0" applyFont="1" applyFill="1" applyBorder="1"/>
    <xf numFmtId="0" fontId="0" fillId="5" borderId="1" xfId="0" applyFont="1" applyFill="1" applyBorder="1"/>
    <xf numFmtId="0" fontId="9" fillId="0" borderId="0" xfId="0" applyFont="1"/>
    <xf numFmtId="0" fontId="4" fillId="3" borderId="36" xfId="0" applyFont="1" applyFill="1" applyBorder="1" applyAlignment="1">
      <alignment horizontal="center"/>
    </xf>
    <xf numFmtId="0" fontId="4" fillId="3" borderId="38" xfId="0" applyFont="1" applyFill="1" applyBorder="1" applyAlignment="1">
      <alignment horizontal="center"/>
    </xf>
    <xf numFmtId="0" fontId="4" fillId="3" borderId="47" xfId="0" applyFont="1" applyFill="1" applyBorder="1" applyAlignment="1">
      <alignment horizontal="center" vertical="center" wrapText="1"/>
    </xf>
    <xf numFmtId="0" fontId="0" fillId="0" borderId="9" xfId="0" applyBorder="1"/>
    <xf numFmtId="0" fontId="4" fillId="3" borderId="37" xfId="0" applyFont="1" applyFill="1" applyBorder="1" applyAlignment="1">
      <alignment horizontal="center" vertical="center"/>
    </xf>
    <xf numFmtId="0" fontId="4" fillId="3" borderId="37" xfId="0" applyFont="1" applyFill="1" applyBorder="1" applyAlignment="1">
      <alignment horizontal="center" wrapText="1"/>
    </xf>
    <xf numFmtId="0" fontId="9" fillId="0" borderId="0" xfId="0" applyFont="1" applyFill="1" applyBorder="1" applyAlignment="1">
      <alignment horizontal="left"/>
    </xf>
    <xf numFmtId="0" fontId="4" fillId="3" borderId="15" xfId="0" applyFont="1" applyFill="1" applyBorder="1" applyAlignment="1">
      <alignment horizontal="center"/>
    </xf>
    <xf numFmtId="0" fontId="4" fillId="3" borderId="17" xfId="0" applyFont="1" applyFill="1" applyBorder="1" applyAlignment="1">
      <alignment horizontal="center"/>
    </xf>
    <xf numFmtId="0" fontId="4" fillId="3" borderId="7" xfId="0" applyFont="1" applyFill="1" applyBorder="1" applyAlignment="1">
      <alignment horizontal="center"/>
    </xf>
    <xf numFmtId="0" fontId="8" fillId="5" borderId="4" xfId="3" applyFont="1" applyFill="1" applyBorder="1" applyAlignment="1">
      <alignment horizontal="left" vertical="center"/>
    </xf>
    <xf numFmtId="0" fontId="6" fillId="5" borderId="36" xfId="3" applyFont="1" applyFill="1" applyBorder="1" applyAlignment="1">
      <alignment horizontal="left" vertical="center"/>
    </xf>
    <xf numFmtId="0" fontId="0" fillId="0" borderId="38" xfId="0" applyBorder="1" applyAlignment="1">
      <alignment horizontal="center" vertical="center"/>
    </xf>
    <xf numFmtId="0" fontId="0" fillId="0" borderId="46" xfId="0" applyBorder="1" applyAlignment="1">
      <alignment horizontal="center" vertical="center"/>
    </xf>
    <xf numFmtId="0" fontId="11" fillId="2" borderId="0" xfId="0" applyFont="1" applyFill="1" applyBorder="1"/>
    <xf numFmtId="0" fontId="4" fillId="3" borderId="43" xfId="0" applyFont="1" applyFill="1" applyBorder="1" applyAlignment="1">
      <alignment horizontal="center" vertical="center" wrapText="1"/>
    </xf>
    <xf numFmtId="0" fontId="0" fillId="0" borderId="53" xfId="0" applyBorder="1"/>
    <xf numFmtId="0" fontId="7" fillId="5" borderId="2" xfId="4" applyFont="1" applyFill="1" applyBorder="1" applyAlignment="1" applyProtection="1">
      <alignment horizontal="center" vertical="center"/>
      <protection locked="0"/>
    </xf>
    <xf numFmtId="0" fontId="7" fillId="5" borderId="5" xfId="4" applyFont="1" applyFill="1" applyBorder="1" applyAlignment="1" applyProtection="1">
      <alignment horizontal="center" vertical="center"/>
      <protection locked="0"/>
    </xf>
    <xf numFmtId="0" fontId="7" fillId="5" borderId="13" xfId="4" applyFont="1" applyFill="1" applyBorder="1" applyAlignment="1" applyProtection="1">
      <alignment horizontal="center" vertical="center"/>
      <protection locked="0"/>
    </xf>
    <xf numFmtId="0" fontId="11" fillId="2" borderId="0" xfId="0" applyFont="1" applyFill="1" applyAlignment="1">
      <alignment wrapText="1"/>
    </xf>
    <xf numFmtId="0" fontId="0" fillId="0" borderId="0" xfId="0" applyFill="1" applyBorder="1"/>
    <xf numFmtId="0" fontId="4" fillId="5" borderId="2" xfId="0" applyFont="1" applyFill="1" applyBorder="1"/>
    <xf numFmtId="0" fontId="11" fillId="0" borderId="0" xfId="0" applyFont="1" applyFill="1"/>
    <xf numFmtId="0" fontId="4" fillId="5" borderId="33" xfId="0" applyFont="1" applyFill="1" applyBorder="1"/>
    <xf numFmtId="0" fontId="7" fillId="4" borderId="19" xfId="4" applyFont="1" applyFill="1" applyBorder="1" applyAlignment="1" applyProtection="1">
      <alignment horizontal="center" vertical="top"/>
      <protection locked="0"/>
    </xf>
    <xf numFmtId="0" fontId="7" fillId="4" borderId="9" xfId="4" applyFont="1" applyFill="1" applyBorder="1" applyAlignment="1" applyProtection="1">
      <alignment horizontal="center" vertical="top"/>
      <protection locked="0"/>
    </xf>
    <xf numFmtId="0" fontId="0" fillId="5" borderId="4" xfId="0" applyFill="1" applyBorder="1" applyAlignment="1">
      <alignment horizontal="left" vertical="center" wrapText="1"/>
    </xf>
    <xf numFmtId="0" fontId="0" fillId="0" borderId="43" xfId="0" applyBorder="1" applyAlignment="1">
      <alignment horizontal="left" vertical="center" wrapText="1"/>
    </xf>
    <xf numFmtId="0" fontId="4" fillId="5" borderId="52"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0" fillId="5" borderId="28" xfId="3" applyFont="1" applyFill="1" applyBorder="1" applyAlignment="1">
      <alignment horizontal="left" vertical="center"/>
    </xf>
    <xf numFmtId="0" fontId="0" fillId="5" borderId="4" xfId="3" applyFont="1" applyFill="1" applyBorder="1" applyAlignment="1">
      <alignment horizontal="left" vertical="center"/>
    </xf>
    <xf numFmtId="0" fontId="4" fillId="5" borderId="36" xfId="0" applyFont="1" applyFill="1" applyBorder="1"/>
    <xf numFmtId="0" fontId="0" fillId="5" borderId="37" xfId="0" applyFill="1" applyBorder="1"/>
    <xf numFmtId="0" fontId="0" fillId="5" borderId="38" xfId="0" applyFill="1" applyBorder="1"/>
    <xf numFmtId="0" fontId="0" fillId="5" borderId="34" xfId="0" applyFill="1" applyBorder="1"/>
    <xf numFmtId="0" fontId="0" fillId="5" borderId="35" xfId="0" applyFill="1" applyBorder="1"/>
    <xf numFmtId="0" fontId="4" fillId="5" borderId="33" xfId="0" applyFont="1" applyFill="1" applyBorder="1" applyAlignment="1">
      <alignment horizontal="left"/>
    </xf>
    <xf numFmtId="0" fontId="15" fillId="0" borderId="0" xfId="0" applyFont="1" applyFill="1"/>
    <xf numFmtId="0" fontId="7" fillId="0" borderId="0" xfId="0" applyFont="1" applyFill="1"/>
    <xf numFmtId="0" fontId="0" fillId="0" borderId="53" xfId="0" applyFont="1" applyFill="1" applyBorder="1"/>
    <xf numFmtId="0" fontId="0" fillId="0" borderId="0" xfId="0" applyAlignment="1">
      <alignment horizontal="center"/>
    </xf>
    <xf numFmtId="0" fontId="4" fillId="5" borderId="17" xfId="4" applyFont="1" applyFill="1" applyBorder="1" applyAlignment="1" applyProtection="1">
      <alignment horizontal="center" vertical="center"/>
    </xf>
    <xf numFmtId="0" fontId="11" fillId="2" borderId="0" xfId="0" applyFont="1" applyFill="1" applyAlignment="1">
      <alignment horizontal="center"/>
    </xf>
    <xf numFmtId="0" fontId="15" fillId="0" borderId="0" xfId="0" applyFont="1" applyFill="1" applyAlignment="1">
      <alignment horizontal="center"/>
    </xf>
    <xf numFmtId="0" fontId="0" fillId="0" borderId="5" xfId="0" applyBorder="1" applyAlignment="1">
      <alignment horizontal="center"/>
    </xf>
    <xf numFmtId="0" fontId="0" fillId="0" borderId="13" xfId="0" applyBorder="1" applyAlignment="1">
      <alignment horizontal="center"/>
    </xf>
    <xf numFmtId="0" fontId="7" fillId="0" borderId="0" xfId="4" applyFont="1" applyFill="1" applyBorder="1" applyAlignment="1" applyProtection="1">
      <alignment horizontal="center" vertical="center"/>
    </xf>
    <xf numFmtId="0" fontId="6" fillId="7" borderId="61" xfId="4" applyFont="1" applyFill="1" applyBorder="1" applyAlignment="1" applyProtection="1">
      <alignment horizontal="center" vertical="center" wrapText="1"/>
    </xf>
    <xf numFmtId="0" fontId="6" fillId="7" borderId="10" xfId="4" applyFont="1" applyFill="1" applyBorder="1" applyAlignment="1" applyProtection="1">
      <alignment horizontal="center" vertical="center" wrapText="1"/>
    </xf>
    <xf numFmtId="0" fontId="6" fillId="7" borderId="44" xfId="4" applyFont="1" applyFill="1" applyBorder="1" applyAlignment="1" applyProtection="1">
      <alignment horizontal="center" vertical="center" wrapText="1"/>
    </xf>
    <xf numFmtId="4" fontId="6" fillId="7" borderId="62" xfId="4" applyNumberFormat="1" applyFont="1" applyFill="1" applyBorder="1" applyAlignment="1" applyProtection="1">
      <alignment horizontal="center" vertical="center" wrapText="1"/>
    </xf>
    <xf numFmtId="0" fontId="5" fillId="7" borderId="0" xfId="4" applyFont="1" applyFill="1" applyBorder="1" applyAlignment="1" applyProtection="1">
      <alignment horizontal="center" vertical="center"/>
      <protection locked="0"/>
    </xf>
    <xf numFmtId="0" fontId="5" fillId="7" borderId="0" xfId="4" applyFont="1" applyFill="1" applyBorder="1" applyAlignment="1" applyProtection="1">
      <alignment horizontal="center" vertical="top"/>
      <protection locked="0"/>
    </xf>
    <xf numFmtId="0" fontId="5" fillId="7" borderId="0" xfId="0" applyFont="1" applyFill="1" applyBorder="1" applyAlignment="1">
      <alignment horizontal="center"/>
    </xf>
    <xf numFmtId="0" fontId="0" fillId="0" borderId="2" xfId="0" applyBorder="1" applyAlignment="1">
      <alignment horizontal="center"/>
    </xf>
    <xf numFmtId="0" fontId="0" fillId="0" borderId="0" xfId="0" applyFont="1" applyFill="1" applyBorder="1"/>
    <xf numFmtId="0" fontId="5" fillId="2" borderId="0" xfId="4" applyFont="1" applyFill="1" applyBorder="1" applyAlignment="1" applyProtection="1">
      <alignment horizontal="center" vertical="center"/>
      <protection locked="0"/>
    </xf>
    <xf numFmtId="0" fontId="5" fillId="2" borderId="0" xfId="4" applyFont="1" applyFill="1" applyBorder="1" applyAlignment="1" applyProtection="1">
      <alignment horizontal="center" vertical="top"/>
      <protection locked="0"/>
    </xf>
    <xf numFmtId="0" fontId="5" fillId="2" borderId="0" xfId="0" applyFont="1" applyFill="1" applyBorder="1" applyAlignment="1">
      <alignment horizontal="center"/>
    </xf>
    <xf numFmtId="3" fontId="5" fillId="2" borderId="62" xfId="4" applyNumberFormat="1" applyFont="1" applyFill="1" applyBorder="1" applyAlignment="1" applyProtection="1">
      <alignment horizontal="center" vertical="center"/>
    </xf>
    <xf numFmtId="0" fontId="16" fillId="2" borderId="0" xfId="0" applyFont="1" applyFill="1" applyBorder="1" applyAlignment="1">
      <alignment horizontal="center"/>
    </xf>
    <xf numFmtId="0" fontId="16" fillId="2" borderId="0" xfId="0" applyFont="1" applyFill="1" applyBorder="1"/>
    <xf numFmtId="0" fontId="0" fillId="0" borderId="0" xfId="0" applyBorder="1" applyAlignment="1"/>
    <xf numFmtId="3" fontId="5" fillId="7" borderId="62" xfId="4" applyNumberFormat="1" applyFont="1" applyFill="1" applyBorder="1" applyAlignment="1" applyProtection="1">
      <alignment horizontal="center" vertical="center"/>
    </xf>
    <xf numFmtId="0" fontId="16" fillId="2" borderId="25" xfId="0" applyFont="1" applyFill="1" applyBorder="1"/>
    <xf numFmtId="0" fontId="6" fillId="0" borderId="22" xfId="4" applyFont="1" applyFill="1" applyBorder="1" applyAlignment="1" applyProtection="1">
      <alignment vertical="center"/>
    </xf>
    <xf numFmtId="0" fontId="6" fillId="7" borderId="24" xfId="4" applyFont="1" applyFill="1" applyBorder="1" applyAlignment="1" applyProtection="1">
      <alignment horizontal="center" vertical="center" wrapText="1"/>
    </xf>
    <xf numFmtId="3" fontId="5" fillId="7" borderId="63" xfId="4" applyNumberFormat="1" applyFont="1" applyFill="1" applyBorder="1" applyAlignment="1" applyProtection="1">
      <alignment horizontal="center" vertical="top"/>
    </xf>
    <xf numFmtId="3" fontId="5" fillId="2" borderId="63" xfId="4" applyNumberFormat="1" applyFont="1" applyFill="1" applyBorder="1" applyAlignment="1" applyProtection="1">
      <alignment horizontal="center" vertical="top"/>
    </xf>
    <xf numFmtId="0" fontId="16" fillId="2" borderId="24" xfId="0" applyFont="1" applyFill="1" applyBorder="1"/>
    <xf numFmtId="0" fontId="4" fillId="3" borderId="17" xfId="0" applyFont="1" applyFill="1" applyBorder="1" applyAlignment="1">
      <alignment horizontal="center" wrapText="1"/>
    </xf>
    <xf numFmtId="0" fontId="4" fillId="5" borderId="22" xfId="0" applyFont="1" applyFill="1" applyBorder="1" applyAlignment="1">
      <alignment horizontal="left"/>
    </xf>
    <xf numFmtId="0" fontId="0" fillId="5" borderId="26" xfId="0" applyFill="1" applyBorder="1"/>
    <xf numFmtId="0" fontId="0" fillId="5" borderId="28" xfId="0" applyFill="1" applyBorder="1" applyAlignment="1">
      <alignment horizontal="left" vertical="center" wrapText="1"/>
    </xf>
    <xf numFmtId="0" fontId="18" fillId="0" borderId="6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65" xfId="0" applyFont="1" applyBorder="1" applyAlignment="1">
      <alignment vertical="center" wrapText="1"/>
    </xf>
    <xf numFmtId="0" fontId="18" fillId="0" borderId="66" xfId="0" applyFont="1" applyBorder="1" applyAlignment="1">
      <alignment vertical="center" wrapText="1"/>
    </xf>
    <xf numFmtId="0" fontId="0" fillId="0" borderId="66" xfId="0" applyBorder="1" applyAlignment="1">
      <alignment vertical="top" wrapText="1"/>
    </xf>
    <xf numFmtId="0" fontId="0" fillId="0" borderId="65" xfId="0" applyBorder="1" applyAlignment="1">
      <alignment vertical="top" wrapText="1"/>
    </xf>
    <xf numFmtId="0" fontId="22" fillId="0" borderId="26" xfId="0" applyFont="1" applyBorder="1" applyAlignment="1">
      <alignment vertical="center" wrapText="1"/>
    </xf>
    <xf numFmtId="0" fontId="18" fillId="0" borderId="26" xfId="0" applyFont="1" applyBorder="1" applyAlignment="1">
      <alignment vertical="center" wrapText="1"/>
    </xf>
    <xf numFmtId="0" fontId="0" fillId="0" borderId="0" xfId="0"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0" fontId="4" fillId="3" borderId="59"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0" borderId="0" xfId="0" applyFont="1" applyFill="1" applyBorder="1" applyAlignment="1">
      <alignment horizontal="left" vertical="center"/>
    </xf>
    <xf numFmtId="0" fontId="6" fillId="9" borderId="2" xfId="3" applyFont="1" applyFill="1" applyBorder="1" applyAlignment="1">
      <alignment horizontal="center" vertical="center"/>
    </xf>
    <xf numFmtId="0" fontId="6" fillId="9" borderId="3" xfId="3" applyFont="1" applyFill="1" applyBorder="1" applyAlignment="1">
      <alignment horizontal="center" vertical="center"/>
    </xf>
    <xf numFmtId="0" fontId="6" fillId="9" borderId="13" xfId="3" applyFont="1" applyFill="1" applyBorder="1" applyAlignment="1">
      <alignment horizontal="center" vertical="center"/>
    </xf>
    <xf numFmtId="0" fontId="6" fillId="9" borderId="14" xfId="3" applyFont="1" applyFill="1" applyBorder="1" applyAlignment="1">
      <alignment horizontal="center" vertical="center"/>
    </xf>
    <xf numFmtId="0" fontId="4" fillId="9" borderId="36" xfId="0" applyFont="1" applyFill="1" applyBorder="1" applyAlignment="1">
      <alignment horizontal="center" vertical="center"/>
    </xf>
    <xf numFmtId="0" fontId="4" fillId="9" borderId="38" xfId="0" applyFont="1" applyFill="1" applyBorder="1" applyAlignment="1">
      <alignment horizontal="center" vertical="center" wrapText="1"/>
    </xf>
    <xf numFmtId="0" fontId="4" fillId="9" borderId="57" xfId="0" applyFont="1" applyFill="1" applyBorder="1" applyAlignment="1">
      <alignment horizontal="center" vertical="center"/>
    </xf>
    <xf numFmtId="0" fontId="4" fillId="9" borderId="57" xfId="0" applyFont="1" applyFill="1" applyBorder="1" applyAlignment="1">
      <alignment horizontal="center" vertical="center" wrapText="1"/>
    </xf>
    <xf numFmtId="0" fontId="6" fillId="9" borderId="13" xfId="4" applyFont="1" applyFill="1" applyBorder="1" applyAlignment="1" applyProtection="1">
      <alignment horizontal="center" vertical="center" wrapText="1"/>
    </xf>
    <xf numFmtId="0" fontId="6" fillId="9" borderId="50" xfId="4" applyFont="1" applyFill="1" applyBorder="1" applyAlignment="1" applyProtection="1">
      <alignment horizontal="center" vertical="center" wrapText="1"/>
    </xf>
    <xf numFmtId="0" fontId="9" fillId="0" borderId="0" xfId="0" applyFont="1" applyAlignment="1">
      <alignment vertical="center"/>
    </xf>
    <xf numFmtId="0" fontId="4" fillId="3" borderId="1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0" fillId="0" borderId="4" xfId="0" applyBorder="1" applyAlignment="1"/>
    <xf numFmtId="0" fontId="0" fillId="0" borderId="37" xfId="0" applyBorder="1"/>
    <xf numFmtId="0" fontId="4" fillId="0" borderId="36" xfId="0" applyFont="1" applyBorder="1" applyAlignment="1"/>
    <xf numFmtId="0" fontId="0" fillId="10" borderId="37" xfId="0" applyFill="1" applyBorder="1"/>
    <xf numFmtId="0" fontId="4" fillId="0" borderId="0" xfId="0" applyFont="1" applyBorder="1" applyAlignment="1"/>
    <xf numFmtId="0" fontId="0" fillId="0" borderId="0" xfId="0" applyBorder="1" applyAlignment="1">
      <alignment vertical="center"/>
    </xf>
    <xf numFmtId="0" fontId="0" fillId="12" borderId="4" xfId="0" applyFill="1" applyBorder="1"/>
    <xf numFmtId="0" fontId="0" fillId="12" borderId="12" xfId="0" applyFill="1" applyBorder="1"/>
    <xf numFmtId="0" fontId="0" fillId="0" borderId="0" xfId="0" applyAlignment="1">
      <alignment horizontal="right"/>
    </xf>
    <xf numFmtId="0" fontId="4" fillId="3" borderId="7" xfId="0" applyFont="1" applyFill="1" applyBorder="1" applyAlignment="1">
      <alignment horizontal="center" wrapText="1"/>
    </xf>
    <xf numFmtId="0" fontId="0" fillId="0" borderId="33" xfId="0" applyBorder="1"/>
    <xf numFmtId="0" fontId="0" fillId="0" borderId="33" xfId="0" applyBorder="1" applyAlignment="1">
      <alignment wrapText="1"/>
    </xf>
    <xf numFmtId="167" fontId="0" fillId="0" borderId="1" xfId="0" applyNumberFormat="1" applyBorder="1"/>
    <xf numFmtId="167" fontId="0" fillId="0" borderId="4" xfId="0" applyNumberFormat="1" applyBorder="1"/>
    <xf numFmtId="0" fontId="4" fillId="3"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14" borderId="19" xfId="0" applyFill="1" applyBorder="1"/>
    <xf numFmtId="0" fontId="0" fillId="14" borderId="9" xfId="0" applyFill="1" applyBorder="1"/>
    <xf numFmtId="0" fontId="0" fillId="14" borderId="3" xfId="0" applyFill="1" applyBorder="1"/>
    <xf numFmtId="0" fontId="0" fillId="14" borderId="6" xfId="0" applyFill="1" applyBorder="1"/>
    <xf numFmtId="0" fontId="0" fillId="14" borderId="35" xfId="0" applyFill="1" applyBorder="1"/>
    <xf numFmtId="1" fontId="0" fillId="14" borderId="6" xfId="0" applyNumberFormat="1" applyFill="1" applyBorder="1"/>
    <xf numFmtId="1" fontId="0" fillId="14" borderId="14" xfId="0" applyNumberFormat="1" applyFill="1" applyBorder="1"/>
    <xf numFmtId="0" fontId="9" fillId="0" borderId="5" xfId="0" applyFont="1" applyBorder="1"/>
    <xf numFmtId="0" fontId="7" fillId="0" borderId="0" xfId="0" applyFont="1"/>
    <xf numFmtId="0" fontId="7" fillId="0" borderId="0" xfId="0" applyFont="1" applyAlignment="1">
      <alignment wrapText="1"/>
    </xf>
    <xf numFmtId="0" fontId="4" fillId="0" borderId="1" xfId="0" applyFont="1" applyBorder="1"/>
    <xf numFmtId="0" fontId="4" fillId="0" borderId="3" xfId="0" applyFont="1" applyBorder="1"/>
    <xf numFmtId="0" fontId="7" fillId="0" borderId="4" xfId="0" applyFont="1" applyBorder="1" applyAlignment="1">
      <alignment wrapText="1"/>
    </xf>
    <xf numFmtId="0" fontId="7" fillId="14" borderId="6" xfId="0" applyFont="1" applyFill="1" applyBorder="1"/>
    <xf numFmtId="0" fontId="14" fillId="0" borderId="0" xfId="0" applyFont="1"/>
    <xf numFmtId="0" fontId="0" fillId="5" borderId="30" xfId="0" applyFill="1" applyBorder="1" applyAlignment="1">
      <alignment vertical="center" wrapText="1"/>
    </xf>
    <xf numFmtId="0" fontId="0" fillId="5" borderId="4" xfId="0" applyFill="1" applyBorder="1" applyAlignment="1">
      <alignment vertical="center" wrapText="1"/>
    </xf>
    <xf numFmtId="0" fontId="4" fillId="0" borderId="0" xfId="0" applyFont="1" applyFill="1" applyBorder="1" applyAlignment="1">
      <alignment horizontal="center" wrapText="1"/>
    </xf>
    <xf numFmtId="0" fontId="4" fillId="3" borderId="33" xfId="0" applyFont="1" applyFill="1" applyBorder="1" applyAlignment="1">
      <alignment horizontal="center"/>
    </xf>
    <xf numFmtId="2" fontId="0" fillId="0" borderId="0" xfId="0" applyNumberFormat="1" applyFill="1" applyBorder="1"/>
    <xf numFmtId="0" fontId="9" fillId="0" borderId="0" xfId="0" applyFont="1" applyFill="1" applyBorder="1" applyAlignment="1">
      <alignment horizontal="center" vertical="center"/>
    </xf>
    <xf numFmtId="0" fontId="0" fillId="0" borderId="4" xfId="0" applyBorder="1" applyAlignment="1">
      <alignment horizontal="righ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4" xfId="0" quotePrefix="1" applyBorder="1" applyAlignment="1">
      <alignment horizontal="right"/>
    </xf>
    <xf numFmtId="0" fontId="0" fillId="0" borderId="12" xfId="0" applyBorder="1" applyAlignment="1">
      <alignment horizontal="right"/>
    </xf>
    <xf numFmtId="0" fontId="23" fillId="0" borderId="0" xfId="0" applyFont="1" applyAlignment="1">
      <alignment horizontal="right"/>
    </xf>
    <xf numFmtId="0" fontId="23" fillId="0" borderId="0" xfId="0" applyFont="1"/>
    <xf numFmtId="0" fontId="26" fillId="0" borderId="0" xfId="3" applyFont="1" applyBorder="1" applyAlignment="1">
      <alignment horizontal="left"/>
    </xf>
    <xf numFmtId="0" fontId="14" fillId="0" borderId="23" xfId="0" applyFont="1" applyFill="1" applyBorder="1" applyAlignment="1">
      <alignment horizontal="right" wrapText="1"/>
    </xf>
    <xf numFmtId="0" fontId="0" fillId="2" borderId="0" xfId="0" applyFill="1"/>
    <xf numFmtId="0" fontId="4" fillId="3" borderId="3" xfId="0" applyFont="1" applyFill="1" applyBorder="1" applyAlignment="1">
      <alignment wrapText="1"/>
    </xf>
    <xf numFmtId="0" fontId="4" fillId="3" borderId="40" xfId="0" applyFont="1" applyFill="1" applyBorder="1" applyAlignment="1">
      <alignment horizontal="left"/>
    </xf>
    <xf numFmtId="0" fontId="4" fillId="3" borderId="41" xfId="0" applyFont="1" applyFill="1" applyBorder="1" applyAlignment="1">
      <alignment horizontal="center"/>
    </xf>
    <xf numFmtId="0" fontId="4" fillId="3" borderId="20" xfId="0" applyFont="1" applyFill="1" applyBorder="1" applyAlignment="1">
      <alignment horizontal="center"/>
    </xf>
    <xf numFmtId="0" fontId="4" fillId="3" borderId="3" xfId="0" applyFont="1" applyFill="1" applyBorder="1" applyAlignment="1">
      <alignment horizontal="center" wrapText="1"/>
    </xf>
    <xf numFmtId="0" fontId="4" fillId="3" borderId="1" xfId="0" applyFont="1" applyFill="1" applyBorder="1" applyAlignment="1">
      <alignment horizontal="right"/>
    </xf>
    <xf numFmtId="0" fontId="4" fillId="3" borderId="12" xfId="0" quotePrefix="1" applyFont="1" applyFill="1" applyBorder="1" applyAlignment="1">
      <alignment horizontal="right"/>
    </xf>
    <xf numFmtId="0" fontId="4" fillId="3" borderId="1" xfId="0" applyFont="1" applyFill="1" applyBorder="1" applyAlignment="1">
      <alignment horizontal="right" wrapText="1"/>
    </xf>
    <xf numFmtId="0" fontId="4" fillId="3" borderId="12" xfId="0" applyFont="1" applyFill="1" applyBorder="1" applyAlignment="1">
      <alignment horizontal="right" wrapText="1"/>
    </xf>
    <xf numFmtId="0" fontId="4" fillId="3" borderId="4" xfId="0" applyFont="1" applyFill="1" applyBorder="1" applyAlignment="1">
      <alignment horizontal="right" wrapText="1"/>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0" fillId="0" borderId="11" xfId="0" applyBorder="1" applyAlignment="1">
      <alignment horizontal="center"/>
    </xf>
    <xf numFmtId="0" fontId="0" fillId="0" borderId="31" xfId="0" applyBorder="1" applyAlignment="1">
      <alignment wrapText="1"/>
    </xf>
    <xf numFmtId="0" fontId="4" fillId="3" borderId="4" xfId="0" quotePrefix="1" applyFont="1" applyFill="1" applyBorder="1" applyAlignment="1">
      <alignment horizontal="right"/>
    </xf>
    <xf numFmtId="0" fontId="4" fillId="3" borderId="12" xfId="0" applyFont="1" applyFill="1" applyBorder="1" applyAlignment="1">
      <alignment horizontal="right"/>
    </xf>
    <xf numFmtId="0" fontId="0" fillId="0" borderId="13" xfId="0" applyFill="1" applyBorder="1"/>
    <xf numFmtId="0" fontId="0" fillId="0" borderId="3" xfId="0" applyBorder="1" applyAlignment="1">
      <alignment wrapText="1"/>
    </xf>
    <xf numFmtId="0" fontId="0" fillId="0" borderId="6" xfId="0" applyBorder="1" applyAlignment="1">
      <alignment wrapText="1"/>
    </xf>
    <xf numFmtId="0" fontId="0" fillId="0" borderId="14" xfId="0" applyBorder="1" applyAlignment="1">
      <alignment wrapText="1"/>
    </xf>
    <xf numFmtId="0" fontId="0" fillId="17" borderId="43" xfId="0" applyFill="1" applyBorder="1"/>
    <xf numFmtId="0" fontId="4" fillId="0" borderId="65" xfId="0" applyFont="1" applyFill="1" applyBorder="1" applyAlignment="1">
      <alignment horizontal="right"/>
    </xf>
    <xf numFmtId="0" fontId="6" fillId="3" borderId="1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3" borderId="1" xfId="0" applyFont="1" applyFill="1" applyBorder="1"/>
    <xf numFmtId="0" fontId="4" fillId="3" borderId="2" xfId="0" applyFont="1" applyFill="1" applyBorder="1"/>
    <xf numFmtId="0" fontId="4" fillId="3" borderId="2" xfId="0" applyFont="1" applyFill="1" applyBorder="1" applyAlignment="1">
      <alignment horizontal="right"/>
    </xf>
    <xf numFmtId="0" fontId="4" fillId="3" borderId="12" xfId="0" applyFont="1" applyFill="1" applyBorder="1"/>
    <xf numFmtId="0" fontId="4" fillId="3" borderId="13" xfId="0" applyFont="1" applyFill="1" applyBorder="1"/>
    <xf numFmtId="0" fontId="4" fillId="3" borderId="13" xfId="0" applyFont="1" applyFill="1" applyBorder="1" applyAlignment="1">
      <alignment horizontal="right"/>
    </xf>
    <xf numFmtId="0" fontId="0" fillId="0" borderId="15" xfId="0" applyBorder="1"/>
    <xf numFmtId="0" fontId="0" fillId="0" borderId="7" xfId="0" applyBorder="1"/>
    <xf numFmtId="0" fontId="8" fillId="5" borderId="4" xfId="3" applyFont="1" applyFill="1" applyBorder="1" applyAlignment="1">
      <alignment horizontal="left" vertical="center" wrapText="1"/>
    </xf>
    <xf numFmtId="0" fontId="4" fillId="3" borderId="15" xfId="0" applyFont="1" applyFill="1" applyBorder="1" applyAlignment="1">
      <alignment horizontal="center" wrapText="1"/>
    </xf>
    <xf numFmtId="0" fontId="0" fillId="0" borderId="5" xfId="0" applyFill="1" applyBorder="1" applyAlignment="1">
      <alignment vertical="center" wrapText="1"/>
    </xf>
    <xf numFmtId="0" fontId="4" fillId="3" borderId="4" xfId="0" applyFont="1" applyFill="1" applyBorder="1" applyAlignment="1">
      <alignment horizontal="center" vertical="center" wrapText="1"/>
    </xf>
    <xf numFmtId="0" fontId="5" fillId="0" borderId="1" xfId="0" applyFont="1" applyBorder="1"/>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48" xfId="0" applyBorder="1" applyAlignment="1">
      <alignment horizontal="center" vertical="center" wrapText="1"/>
    </xf>
    <xf numFmtId="0" fontId="4" fillId="0" borderId="36" xfId="0" applyFont="1" applyBorder="1" applyAlignment="1">
      <alignment horizontal="center" vertical="center" wrapText="1"/>
    </xf>
    <xf numFmtId="0" fontId="0" fillId="0" borderId="37" xfId="0" applyBorder="1" applyAlignment="1">
      <alignment horizontal="center" vertical="center" wrapText="1"/>
    </xf>
    <xf numFmtId="170" fontId="0" fillId="0" borderId="2" xfId="1" applyNumberFormat="1" applyFont="1" applyBorder="1" applyAlignment="1">
      <alignment horizontal="center" vertical="center" wrapText="1"/>
    </xf>
    <xf numFmtId="169" fontId="0" fillId="0" borderId="2" xfId="0" applyNumberFormat="1" applyBorder="1" applyAlignment="1">
      <alignment horizontal="center" vertical="center" wrapText="1"/>
    </xf>
    <xf numFmtId="169" fontId="0" fillId="0" borderId="2" xfId="0" applyNumberFormat="1" applyBorder="1"/>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1" fontId="0" fillId="0" borderId="5" xfId="0" applyNumberFormat="1" applyFill="1" applyBorder="1" applyAlignment="1"/>
    <xf numFmtId="0" fontId="4"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166" fontId="4" fillId="0" borderId="0" xfId="2" applyNumberFormat="1" applyFont="1" applyBorder="1"/>
    <xf numFmtId="0" fontId="4" fillId="0" borderId="0" xfId="0" applyFont="1" applyFill="1" applyBorder="1" applyAlignment="1">
      <alignment horizontal="left" vertical="center" wrapText="1"/>
    </xf>
    <xf numFmtId="0" fontId="0" fillId="0" borderId="0" xfId="0" quotePrefix="1"/>
    <xf numFmtId="0" fontId="4" fillId="5" borderId="20"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0" fillId="12" borderId="63" xfId="0" applyFill="1" applyBorder="1"/>
    <xf numFmtId="1" fontId="0" fillId="14" borderId="62" xfId="0" applyNumberFormat="1" applyFill="1" applyBorder="1"/>
    <xf numFmtId="166" fontId="0" fillId="0" borderId="0" xfId="2" applyNumberFormat="1" applyFont="1"/>
    <xf numFmtId="0" fontId="0" fillId="0" borderId="65" xfId="0" applyFill="1" applyBorder="1"/>
    <xf numFmtId="167" fontId="0" fillId="0" borderId="12" xfId="0" applyNumberFormat="1" applyBorder="1"/>
    <xf numFmtId="167" fontId="0" fillId="0" borderId="28" xfId="0" applyNumberFormat="1" applyBorder="1"/>
    <xf numFmtId="0" fontId="4" fillId="3" borderId="0" xfId="0" applyFont="1" applyFill="1" applyBorder="1" applyAlignment="1">
      <alignment horizontal="center"/>
    </xf>
    <xf numFmtId="0" fontId="0" fillId="0" borderId="0" xfId="0" applyFont="1" applyFill="1" applyBorder="1" applyAlignment="1">
      <alignment horizontal="left"/>
    </xf>
    <xf numFmtId="165" fontId="33" fillId="0" borderId="11" xfId="1" applyNumberFormat="1" applyFont="1" applyFill="1" applyBorder="1" applyAlignment="1" applyProtection="1">
      <alignment horizontal="center" vertical="center"/>
    </xf>
    <xf numFmtId="165" fontId="8" fillId="0" borderId="5" xfId="1" applyNumberFormat="1" applyFont="1" applyFill="1" applyBorder="1" applyAlignment="1" applyProtection="1">
      <alignment horizontal="center" vertical="center"/>
    </xf>
    <xf numFmtId="165" fontId="33" fillId="0" borderId="29" xfId="1" applyNumberFormat="1" applyFont="1" applyFill="1" applyBorder="1" applyAlignment="1" applyProtection="1">
      <alignment horizontal="center" vertical="center"/>
    </xf>
    <xf numFmtId="165" fontId="8" fillId="0" borderId="6" xfId="1" applyNumberFormat="1" applyFont="1" applyFill="1" applyBorder="1" applyAlignment="1" applyProtection="1">
      <alignment horizontal="center" vertical="center"/>
    </xf>
    <xf numFmtId="3" fontId="8" fillId="0" borderId="4" xfId="4" applyNumberFormat="1" applyFont="1" applyFill="1" applyBorder="1" applyAlignment="1" applyProtection="1">
      <alignment horizontal="center" vertical="top"/>
    </xf>
    <xf numFmtId="3" fontId="8" fillId="0" borderId="6" xfId="4" applyNumberFormat="1" applyFont="1" applyFill="1" applyBorder="1" applyAlignment="1" applyProtection="1">
      <alignment horizontal="center" vertical="center"/>
    </xf>
    <xf numFmtId="3" fontId="8" fillId="0" borderId="32" xfId="4" applyNumberFormat="1" applyFont="1" applyFill="1" applyBorder="1" applyAlignment="1" applyProtection="1">
      <alignment horizontal="center" vertical="top"/>
    </xf>
    <xf numFmtId="0" fontId="9" fillId="0" borderId="5" xfId="0" applyFont="1" applyBorder="1" applyAlignment="1">
      <alignment horizontal="center"/>
    </xf>
    <xf numFmtId="0" fontId="8" fillId="4" borderId="9" xfId="4" applyFont="1" applyFill="1" applyBorder="1" applyAlignment="1" applyProtection="1">
      <alignment horizontal="center" vertical="top"/>
      <protection locked="0"/>
    </xf>
    <xf numFmtId="0" fontId="9" fillId="0" borderId="5" xfId="0" applyFont="1" applyBorder="1" applyAlignment="1">
      <alignment horizontal="center" vertical="center"/>
    </xf>
    <xf numFmtId="0" fontId="8" fillId="4" borderId="9" xfId="4" applyFont="1" applyFill="1" applyBorder="1" applyAlignment="1" applyProtection="1">
      <alignment horizontal="center" vertical="center"/>
      <protection locked="0"/>
    </xf>
    <xf numFmtId="0" fontId="7" fillId="12" borderId="5" xfId="4" applyFont="1" applyFill="1" applyBorder="1" applyAlignment="1" applyProtection="1">
      <alignment horizontal="center" vertical="top"/>
      <protection locked="0"/>
    </xf>
    <xf numFmtId="0" fontId="7" fillId="12" borderId="2" xfId="4" applyFont="1" applyFill="1" applyBorder="1" applyAlignment="1" applyProtection="1">
      <alignment horizontal="center" vertical="top"/>
      <protection locked="0"/>
    </xf>
    <xf numFmtId="0" fontId="7" fillId="12" borderId="13" xfId="4" applyFont="1" applyFill="1" applyBorder="1" applyAlignment="1" applyProtection="1">
      <alignment horizontal="center" vertical="top"/>
      <protection locked="0"/>
    </xf>
    <xf numFmtId="0" fontId="0" fillId="0" borderId="32" xfId="0" applyBorder="1"/>
    <xf numFmtId="0" fontId="0" fillId="0" borderId="58" xfId="0" applyBorder="1"/>
    <xf numFmtId="0" fontId="0" fillId="0" borderId="48" xfId="0" applyBorder="1"/>
    <xf numFmtId="0" fontId="0" fillId="0" borderId="49" xfId="0" applyBorder="1"/>
    <xf numFmtId="0" fontId="4" fillId="0" borderId="65" xfId="0" applyFont="1" applyFill="1" applyBorder="1"/>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7" xfId="0" applyFont="1" applyBorder="1" applyAlignment="1">
      <alignment horizontal="center" vertical="center" wrapText="1"/>
    </xf>
    <xf numFmtId="169" fontId="9" fillId="0" borderId="36" xfId="0" applyNumberFormat="1" applyFont="1" applyBorder="1" applyAlignment="1">
      <alignment horizontal="center" vertical="center" wrapText="1"/>
    </xf>
    <xf numFmtId="0" fontId="9" fillId="0" borderId="38" xfId="0" applyFont="1" applyBorder="1" applyAlignment="1">
      <alignment horizontal="center" vertical="center" wrapText="1"/>
    </xf>
    <xf numFmtId="164" fontId="9" fillId="0" borderId="3" xfId="1" applyFont="1" applyFill="1" applyBorder="1"/>
    <xf numFmtId="164" fontId="9" fillId="0" borderId="6" xfId="1" applyFont="1" applyFill="1" applyBorder="1"/>
    <xf numFmtId="164" fontId="9" fillId="0" borderId="6" xfId="1" applyFont="1" applyBorder="1"/>
    <xf numFmtId="164" fontId="9" fillId="0" borderId="14" xfId="1" applyFont="1" applyBorder="1"/>
    <xf numFmtId="0" fontId="0" fillId="0" borderId="22" xfId="0" applyBorder="1"/>
    <xf numFmtId="2" fontId="4" fillId="0" borderId="0" xfId="2" applyNumberFormat="1" applyFont="1" applyBorder="1"/>
    <xf numFmtId="0" fontId="0" fillId="0" borderId="0" xfId="0" applyFill="1"/>
    <xf numFmtId="2" fontId="32" fillId="0" borderId="0" xfId="2" applyNumberFormat="1" applyFont="1" applyFill="1" applyBorder="1"/>
    <xf numFmtId="164" fontId="9" fillId="0" borderId="5" xfId="1" applyFont="1" applyFill="1" applyBorder="1" applyAlignment="1" applyProtection="1">
      <alignment horizontal="center" vertical="center"/>
      <protection locked="0"/>
    </xf>
    <xf numFmtId="0" fontId="4" fillId="9" borderId="36" xfId="0" applyFont="1" applyFill="1" applyBorder="1"/>
    <xf numFmtId="0" fontId="4" fillId="9" borderId="7" xfId="0" applyFont="1" applyFill="1" applyBorder="1"/>
    <xf numFmtId="0" fontId="0" fillId="12" borderId="2" xfId="0" applyFill="1" applyBorder="1" applyAlignment="1" applyProtection="1">
      <alignment vertical="center" wrapText="1"/>
      <protection locked="0"/>
    </xf>
    <xf numFmtId="0" fontId="0" fillId="12" borderId="5" xfId="0" applyFill="1" applyBorder="1" applyAlignment="1" applyProtection="1">
      <alignment vertical="center" wrapText="1"/>
      <protection locked="0"/>
    </xf>
    <xf numFmtId="0" fontId="0" fillId="12" borderId="5" xfId="0" applyFill="1" applyBorder="1" applyAlignment="1" applyProtection="1">
      <protection locked="0"/>
    </xf>
    <xf numFmtId="1" fontId="0" fillId="12" borderId="5" xfId="0" applyNumberFormat="1" applyFill="1" applyBorder="1" applyAlignment="1" applyProtection="1">
      <protection locked="0"/>
    </xf>
    <xf numFmtId="0" fontId="0" fillId="12" borderId="2" xfId="0" applyFill="1" applyBorder="1" applyProtection="1">
      <protection locked="0"/>
    </xf>
    <xf numFmtId="0" fontId="0" fillId="12" borderId="3" xfId="0" applyFill="1" applyBorder="1" applyProtection="1">
      <protection locked="0"/>
    </xf>
    <xf numFmtId="0" fontId="0" fillId="12" borderId="5" xfId="0" applyFill="1" applyBorder="1" applyProtection="1">
      <protection locked="0"/>
    </xf>
    <xf numFmtId="0" fontId="0" fillId="12" borderId="6" xfId="0" applyFill="1" applyBorder="1" applyProtection="1">
      <protection locked="0"/>
    </xf>
    <xf numFmtId="0" fontId="9" fillId="12" borderId="5" xfId="0" applyFont="1" applyFill="1" applyBorder="1" applyAlignment="1" applyProtection="1">
      <alignment vertical="center" wrapText="1"/>
      <protection locked="0"/>
    </xf>
    <xf numFmtId="0" fontId="0" fillId="12" borderId="6" xfId="0" applyFill="1" applyBorder="1" applyAlignment="1" applyProtection="1">
      <alignment vertical="center"/>
      <protection locked="0"/>
    </xf>
    <xf numFmtId="0" fontId="0" fillId="12" borderId="10" xfId="0" applyFill="1" applyBorder="1" applyAlignment="1" applyProtection="1">
      <alignment vertical="center"/>
      <protection locked="0"/>
    </xf>
    <xf numFmtId="0" fontId="0" fillId="12" borderId="31" xfId="0" applyFill="1" applyBorder="1" applyAlignment="1" applyProtection="1">
      <alignment vertical="center"/>
      <protection locked="0"/>
    </xf>
    <xf numFmtId="0" fontId="0" fillId="12" borderId="5" xfId="0" applyFill="1" applyBorder="1" applyAlignment="1" applyProtection="1">
      <alignment vertical="center"/>
      <protection locked="0"/>
    </xf>
    <xf numFmtId="0" fontId="0" fillId="12" borderId="13" xfId="0" applyFill="1" applyBorder="1" applyAlignment="1" applyProtection="1">
      <alignment vertical="center"/>
      <protection locked="0"/>
    </xf>
    <xf numFmtId="0" fontId="0" fillId="12" borderId="14" xfId="0" applyFill="1" applyBorder="1" applyAlignment="1" applyProtection="1">
      <alignment vertical="center"/>
      <protection locked="0"/>
    </xf>
    <xf numFmtId="0" fontId="0" fillId="12" borderId="13" xfId="0" applyFill="1" applyBorder="1" applyProtection="1">
      <protection locked="0"/>
    </xf>
    <xf numFmtId="0" fontId="0" fillId="12" borderId="2" xfId="2" applyNumberFormat="1" applyFont="1" applyFill="1" applyBorder="1" applyProtection="1">
      <protection locked="0"/>
    </xf>
    <xf numFmtId="0" fontId="0" fillId="12" borderId="14" xfId="0" applyFill="1" applyBorder="1" applyProtection="1">
      <protection locked="0"/>
    </xf>
    <xf numFmtId="0" fontId="0" fillId="12" borderId="53" xfId="0" applyFill="1" applyBorder="1" applyProtection="1">
      <protection locked="0"/>
    </xf>
    <xf numFmtId="0" fontId="4" fillId="12" borderId="53" xfId="0" applyFont="1" applyFill="1" applyBorder="1" applyAlignment="1" applyProtection="1">
      <alignment horizontal="center"/>
      <protection locked="0"/>
    </xf>
    <xf numFmtId="0" fontId="6" fillId="12" borderId="5" xfId="4" applyFont="1" applyFill="1" applyBorder="1" applyAlignment="1" applyProtection="1">
      <alignment vertical="center"/>
      <protection locked="0"/>
    </xf>
    <xf numFmtId="0" fontId="16" fillId="2" borderId="0" xfId="4" applyFont="1" applyFill="1" applyBorder="1" applyAlignment="1" applyProtection="1">
      <alignment vertical="center"/>
      <protection locked="0"/>
    </xf>
    <xf numFmtId="0" fontId="6" fillId="5" borderId="13" xfId="4" applyFont="1" applyFill="1" applyBorder="1" applyAlignment="1" applyProtection="1">
      <alignment vertical="center"/>
      <protection locked="0"/>
    </xf>
    <xf numFmtId="0" fontId="6" fillId="12" borderId="13" xfId="4" applyFont="1" applyFill="1" applyBorder="1" applyAlignment="1" applyProtection="1">
      <alignment vertical="center"/>
      <protection locked="0"/>
    </xf>
    <xf numFmtId="0" fontId="0" fillId="0" borderId="13" xfId="0" applyBorder="1" applyAlignment="1" applyProtection="1">
      <alignment horizontal="center"/>
      <protection locked="0"/>
    </xf>
    <xf numFmtId="0" fontId="0" fillId="0" borderId="5" xfId="0" applyBorder="1" applyAlignment="1" applyProtection="1">
      <alignment horizontal="center"/>
      <protection locked="0"/>
    </xf>
    <xf numFmtId="0" fontId="0" fillId="12" borderId="52" xfId="0" applyFill="1" applyBorder="1" applyProtection="1">
      <protection locked="0"/>
    </xf>
    <xf numFmtId="0" fontId="0" fillId="12" borderId="54" xfId="0" applyFill="1" applyBorder="1" applyProtection="1">
      <protection locked="0"/>
    </xf>
    <xf numFmtId="0" fontId="0" fillId="15" borderId="11" xfId="0" applyFill="1" applyBorder="1" applyProtection="1">
      <protection locked="0"/>
    </xf>
    <xf numFmtId="0" fontId="0" fillId="15" borderId="5" xfId="0" applyFill="1" applyBorder="1" applyProtection="1">
      <protection locked="0"/>
    </xf>
    <xf numFmtId="0" fontId="0" fillId="15" borderId="13" xfId="0" applyFill="1" applyBorder="1" applyProtection="1">
      <protection locked="0"/>
    </xf>
    <xf numFmtId="0" fontId="0" fillId="15" borderId="29" xfId="0" applyFill="1" applyBorder="1" applyProtection="1">
      <protection locked="0"/>
    </xf>
    <xf numFmtId="0" fontId="0" fillId="15" borderId="6" xfId="0" applyFill="1" applyBorder="1" applyProtection="1">
      <protection locked="0"/>
    </xf>
    <xf numFmtId="0" fontId="0" fillId="15" borderId="11" xfId="0" applyFill="1" applyBorder="1" applyAlignment="1" applyProtection="1">
      <alignment horizontal="center" vertical="center" wrapText="1"/>
      <protection locked="0"/>
    </xf>
    <xf numFmtId="0" fontId="0" fillId="15" borderId="11" xfId="0" applyFill="1" applyBorder="1" applyAlignment="1" applyProtection="1">
      <alignment horizontal="center" vertical="center"/>
      <protection locked="0"/>
    </xf>
    <xf numFmtId="0" fontId="0" fillId="15" borderId="5" xfId="0" applyFill="1" applyBorder="1" applyAlignment="1" applyProtection="1">
      <alignment horizontal="center" vertical="center"/>
      <protection locked="0"/>
    </xf>
    <xf numFmtId="0" fontId="0" fillId="5" borderId="4" xfId="0" applyFill="1" applyBorder="1" applyAlignment="1" applyProtection="1">
      <alignment horizontal="left" vertical="center" wrapText="1"/>
      <protection locked="0"/>
    </xf>
    <xf numFmtId="0" fontId="0" fillId="5" borderId="30" xfId="0" applyFill="1" applyBorder="1" applyAlignment="1" applyProtection="1">
      <alignment horizontal="left" vertical="center" wrapText="1"/>
      <protection locked="0"/>
    </xf>
    <xf numFmtId="0" fontId="0" fillId="15" borderId="10" xfId="0" applyFill="1" applyBorder="1" applyAlignment="1" applyProtection="1">
      <alignment horizontal="center" vertical="center"/>
      <protection locked="0"/>
    </xf>
    <xf numFmtId="0" fontId="0" fillId="15" borderId="2" xfId="0" applyFill="1" applyBorder="1" applyProtection="1">
      <protection locked="0"/>
    </xf>
    <xf numFmtId="0" fontId="4" fillId="15" borderId="4" xfId="0" applyFont="1" applyFill="1" applyBorder="1" applyAlignment="1" applyProtection="1">
      <alignment horizontal="center" vertical="center" wrapText="1"/>
      <protection locked="0"/>
    </xf>
    <xf numFmtId="0" fontId="4" fillId="15" borderId="5" xfId="0" applyFont="1" applyFill="1" applyBorder="1" applyAlignment="1" applyProtection="1">
      <alignment horizontal="center" vertical="center" wrapText="1"/>
      <protection locked="0"/>
    </xf>
    <xf numFmtId="0" fontId="4" fillId="15" borderId="8" xfId="0" applyFont="1" applyFill="1" applyBorder="1" applyAlignment="1" applyProtection="1">
      <alignment horizontal="center" vertical="center" wrapText="1"/>
      <protection locked="0"/>
    </xf>
    <xf numFmtId="0" fontId="0" fillId="15" borderId="13" xfId="0" applyFont="1" applyFill="1" applyBorder="1" applyAlignment="1" applyProtection="1">
      <alignment horizontal="center" vertical="center" wrapText="1"/>
      <protection locked="0"/>
    </xf>
    <xf numFmtId="0" fontId="0" fillId="15" borderId="39" xfId="0" applyFont="1" applyFill="1" applyBorder="1" applyAlignment="1" applyProtection="1">
      <alignment horizontal="center" vertical="center" wrapText="1"/>
      <protection locked="0"/>
    </xf>
    <xf numFmtId="0" fontId="0" fillId="15" borderId="40" xfId="0" applyFill="1" applyBorder="1" applyAlignment="1" applyProtection="1">
      <alignment horizontal="center" vertical="center" wrapText="1"/>
      <protection locked="0"/>
    </xf>
    <xf numFmtId="0" fontId="0" fillId="15" borderId="20" xfId="0" applyFill="1" applyBorder="1" applyAlignment="1" applyProtection="1">
      <alignment horizontal="center" vertical="center" wrapText="1"/>
      <protection locked="0"/>
    </xf>
    <xf numFmtId="0" fontId="0" fillId="15" borderId="2" xfId="0" applyFill="1" applyBorder="1" applyAlignment="1" applyProtection="1">
      <alignment horizontal="center" vertical="center" wrapText="1"/>
      <protection locked="0"/>
    </xf>
    <xf numFmtId="0" fontId="0" fillId="15" borderId="55" xfId="0" applyFill="1" applyBorder="1" applyAlignment="1" applyProtection="1">
      <alignment horizontal="center" vertical="center" wrapText="1"/>
      <protection locked="0"/>
    </xf>
    <xf numFmtId="0" fontId="0" fillId="15" borderId="45" xfId="0" applyFill="1" applyBorder="1" applyAlignment="1" applyProtection="1">
      <alignment horizontal="center" vertical="center" wrapText="1"/>
      <protection locked="0"/>
    </xf>
    <xf numFmtId="0" fontId="0" fillId="15" borderId="22" xfId="0" applyFill="1" applyBorder="1" applyAlignment="1" applyProtection="1">
      <alignment horizontal="center" vertical="center" wrapText="1"/>
      <protection locked="0"/>
    </xf>
    <xf numFmtId="0" fontId="0" fillId="15" borderId="18" xfId="0" applyFill="1" applyBorder="1" applyProtection="1">
      <protection locked="0"/>
    </xf>
    <xf numFmtId="0" fontId="0" fillId="15" borderId="60" xfId="0" applyFill="1" applyBorder="1" applyAlignment="1" applyProtection="1">
      <alignment horizontal="center" vertical="center" wrapText="1"/>
      <protection locked="0"/>
    </xf>
    <xf numFmtId="0" fontId="0" fillId="15" borderId="18" xfId="0" applyFill="1" applyBorder="1" applyAlignment="1" applyProtection="1">
      <alignment horizontal="center" vertical="center" wrapText="1"/>
      <protection locked="0"/>
    </xf>
    <xf numFmtId="0" fontId="0" fillId="12" borderId="1" xfId="0" applyFill="1" applyBorder="1" applyAlignment="1" applyProtection="1">
      <alignment wrapText="1"/>
      <protection locked="0"/>
    </xf>
    <xf numFmtId="0" fontId="0" fillId="12" borderId="2" xfId="0" applyFill="1" applyBorder="1" applyAlignment="1" applyProtection="1">
      <alignment wrapText="1"/>
      <protection locked="0"/>
    </xf>
    <xf numFmtId="0" fontId="0" fillId="12" borderId="28" xfId="0" applyFill="1" applyBorder="1" applyAlignment="1" applyProtection="1">
      <alignment wrapText="1"/>
      <protection locked="0"/>
    </xf>
    <xf numFmtId="0" fontId="0" fillId="12" borderId="11" xfId="0" applyFill="1" applyBorder="1" applyAlignment="1" applyProtection="1">
      <alignment wrapText="1"/>
      <protection locked="0"/>
    </xf>
    <xf numFmtId="0" fontId="0" fillId="12" borderId="19" xfId="0" applyFill="1" applyBorder="1" applyAlignment="1" applyProtection="1">
      <alignment wrapText="1"/>
      <protection locked="0"/>
    </xf>
    <xf numFmtId="0" fontId="0" fillId="12" borderId="68" xfId="0" applyFill="1" applyBorder="1" applyAlignment="1" applyProtection="1">
      <alignment wrapText="1"/>
      <protection locked="0"/>
    </xf>
    <xf numFmtId="0" fontId="0" fillId="12" borderId="1" xfId="0" applyFill="1" applyBorder="1" applyProtection="1">
      <protection locked="0"/>
    </xf>
    <xf numFmtId="0" fontId="23" fillId="12" borderId="2" xfId="0" applyFont="1" applyFill="1" applyBorder="1" applyAlignment="1" applyProtection="1">
      <alignment horizontal="center" vertical="center"/>
      <protection locked="0"/>
    </xf>
    <xf numFmtId="0" fontId="0" fillId="12" borderId="4" xfId="0" applyFill="1" applyBorder="1" applyProtection="1">
      <protection locked="0"/>
    </xf>
    <xf numFmtId="0" fontId="0" fillId="12" borderId="5" xfId="0" applyFill="1" applyBorder="1" applyAlignment="1" applyProtection="1">
      <alignment wrapText="1"/>
      <protection locked="0"/>
    </xf>
    <xf numFmtId="0" fontId="23" fillId="12" borderId="5" xfId="0" applyFont="1" applyFill="1" applyBorder="1" applyAlignment="1" applyProtection="1">
      <alignment horizontal="center" vertical="center"/>
      <protection locked="0"/>
    </xf>
    <xf numFmtId="0" fontId="0" fillId="0" borderId="13" xfId="0" applyBorder="1" applyProtection="1">
      <protection locked="0"/>
    </xf>
    <xf numFmtId="2" fontId="23" fillId="12" borderId="2" xfId="0" applyNumberFormat="1" applyFont="1" applyFill="1" applyBorder="1" applyAlignment="1" applyProtection="1">
      <alignment horizontal="center" vertical="center"/>
      <protection locked="0"/>
    </xf>
    <xf numFmtId="2" fontId="23" fillId="12" borderId="5" xfId="0" applyNumberFormat="1" applyFont="1" applyFill="1" applyBorder="1" applyAlignment="1" applyProtection="1">
      <alignment horizontal="center" vertical="center"/>
      <protection locked="0"/>
    </xf>
    <xf numFmtId="0" fontId="25" fillId="12" borderId="0" xfId="0" applyFont="1" applyFill="1" applyProtection="1">
      <protection locked="0"/>
    </xf>
    <xf numFmtId="0" fontId="0" fillId="12" borderId="2" xfId="0" applyFont="1" applyFill="1" applyBorder="1" applyProtection="1">
      <protection locked="0"/>
    </xf>
    <xf numFmtId="0" fontId="0" fillId="12" borderId="5" xfId="0" applyFill="1" applyBorder="1" applyAlignment="1" applyProtection="1">
      <alignment horizontal="center"/>
      <protection locked="0"/>
    </xf>
    <xf numFmtId="0" fontId="0" fillId="0" borderId="4" xfId="0" applyBorder="1" applyAlignment="1" applyProtection="1">
      <alignment horizontal="right" wrapText="1"/>
      <protection locked="0"/>
    </xf>
    <xf numFmtId="0" fontId="0" fillId="0" borderId="4" xfId="0" quotePrefix="1" applyBorder="1" applyAlignment="1" applyProtection="1">
      <alignment horizontal="right"/>
      <protection locked="0"/>
    </xf>
    <xf numFmtId="0" fontId="0" fillId="0" borderId="12" xfId="0" applyBorder="1" applyAlignment="1" applyProtection="1">
      <alignment horizontal="right"/>
      <protection locked="0"/>
    </xf>
    <xf numFmtId="0" fontId="4" fillId="3" borderId="40" xfId="0" applyFont="1" applyFill="1" applyBorder="1" applyAlignment="1" applyProtection="1">
      <alignment horizontal="left"/>
      <protection locked="0"/>
    </xf>
    <xf numFmtId="0" fontId="4" fillId="3" borderId="41" xfId="0" applyFont="1" applyFill="1" applyBorder="1" applyAlignment="1" applyProtection="1">
      <alignment horizontal="center"/>
      <protection locked="0"/>
    </xf>
    <xf numFmtId="0" fontId="4" fillId="3" borderId="20" xfId="0" applyFont="1" applyFill="1" applyBorder="1" applyAlignment="1" applyProtection="1">
      <alignment horizontal="center"/>
      <protection locked="0"/>
    </xf>
    <xf numFmtId="0" fontId="4" fillId="3" borderId="3" xfId="0" applyFont="1" applyFill="1" applyBorder="1" applyAlignment="1" applyProtection="1">
      <alignment horizontal="center" wrapText="1"/>
      <protection locked="0"/>
    </xf>
    <xf numFmtId="2" fontId="9" fillId="0" borderId="5" xfId="0" applyNumberFormat="1" applyFont="1" applyBorder="1" applyProtection="1"/>
    <xf numFmtId="0" fontId="0" fillId="0" borderId="5" xfId="0" applyBorder="1" applyAlignment="1" applyProtection="1">
      <alignment horizontal="center"/>
    </xf>
    <xf numFmtId="0" fontId="9" fillId="0" borderId="5" xfId="0" applyFont="1" applyBorder="1" applyProtection="1"/>
    <xf numFmtId="0" fontId="10" fillId="0" borderId="0" xfId="0" applyFont="1" applyProtection="1">
      <protection locked="0"/>
    </xf>
    <xf numFmtId="0" fontId="0" fillId="0" borderId="0" xfId="0" applyAlignment="1" applyProtection="1">
      <alignment wrapText="1"/>
      <protection locked="0"/>
    </xf>
    <xf numFmtId="0" fontId="0" fillId="0" borderId="0" xfId="0" applyProtection="1">
      <protection locked="0"/>
    </xf>
    <xf numFmtId="0" fontId="11" fillId="2" borderId="0" xfId="0" applyFont="1" applyFill="1" applyProtection="1">
      <protection locked="0"/>
    </xf>
    <xf numFmtId="0" fontId="11" fillId="2" borderId="0" xfId="0" applyFont="1" applyFill="1" applyAlignment="1" applyProtection="1">
      <alignment wrapText="1"/>
      <protection locked="0"/>
    </xf>
    <xf numFmtId="0" fontId="4" fillId="3" borderId="36" xfId="0" applyFont="1" applyFill="1" applyBorder="1" applyAlignment="1" applyProtection="1">
      <alignment horizontal="center" vertical="center" wrapText="1"/>
      <protection locked="0"/>
    </xf>
    <xf numFmtId="0" fontId="4" fillId="3" borderId="37" xfId="0" applyFont="1" applyFill="1" applyBorder="1" applyAlignment="1" applyProtection="1">
      <alignment horizontal="center" vertical="center" wrapText="1"/>
      <protection locked="0"/>
    </xf>
    <xf numFmtId="0" fontId="4" fillId="3" borderId="37" xfId="0" applyFont="1" applyFill="1" applyBorder="1" applyAlignment="1" applyProtection="1">
      <alignment horizontal="center" vertical="center"/>
      <protection locked="0"/>
    </xf>
    <xf numFmtId="0" fontId="0" fillId="15" borderId="28" xfId="0" applyFill="1" applyBorder="1" applyAlignment="1" applyProtection="1">
      <alignment wrapText="1"/>
      <protection locked="0"/>
    </xf>
    <xf numFmtId="0" fontId="0" fillId="15" borderId="4" xfId="0" applyFill="1" applyBorder="1" applyAlignment="1" applyProtection="1">
      <alignment wrapText="1"/>
      <protection locked="0"/>
    </xf>
    <xf numFmtId="0" fontId="4" fillId="3" borderId="47"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0" fillId="15" borderId="1" xfId="0" applyFill="1" applyBorder="1" applyProtection="1">
      <protection locked="0"/>
    </xf>
    <xf numFmtId="0" fontId="0" fillId="15" borderId="19" xfId="0" applyFill="1" applyBorder="1" applyProtection="1">
      <protection locked="0"/>
    </xf>
    <xf numFmtId="0" fontId="0" fillId="15" borderId="4" xfId="0" applyFill="1" applyBorder="1" applyProtection="1">
      <protection locked="0"/>
    </xf>
    <xf numFmtId="0" fontId="0" fillId="15" borderId="9" xfId="0" applyFill="1" applyBorder="1" applyProtection="1">
      <protection locked="0"/>
    </xf>
    <xf numFmtId="0" fontId="0" fillId="15" borderId="12" xfId="0" applyFill="1" applyBorder="1" applyProtection="1">
      <protection locked="0"/>
    </xf>
    <xf numFmtId="0" fontId="0" fillId="15" borderId="44" xfId="0" applyFill="1" applyBorder="1" applyProtection="1">
      <protection locked="0"/>
    </xf>
    <xf numFmtId="0" fontId="4" fillId="0" borderId="43" xfId="0" applyFont="1" applyFill="1" applyBorder="1" applyAlignment="1" applyProtection="1">
      <alignment horizontal="righ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1" xfId="0" applyFont="1" applyBorder="1" applyProtection="1"/>
    <xf numFmtId="0" fontId="9" fillId="0" borderId="4" xfId="0" applyFont="1" applyBorder="1" applyProtection="1"/>
    <xf numFmtId="0" fontId="9" fillId="0" borderId="6" xfId="0" applyFont="1" applyBorder="1" applyProtection="1"/>
    <xf numFmtId="0" fontId="9" fillId="0" borderId="12" xfId="0" applyFont="1" applyBorder="1" applyProtection="1"/>
    <xf numFmtId="0" fontId="0" fillId="0" borderId="46" xfId="0" applyFill="1" applyBorder="1" applyProtection="1"/>
    <xf numFmtId="0" fontId="4" fillId="3" borderId="5" xfId="0" applyFont="1" applyFill="1" applyBorder="1" applyAlignment="1" applyProtection="1">
      <alignment wrapText="1"/>
      <protection locked="0"/>
    </xf>
    <xf numFmtId="0" fontId="0" fillId="3" borderId="5" xfId="0" applyFill="1" applyBorder="1" applyAlignment="1" applyProtection="1">
      <alignment wrapText="1"/>
      <protection locked="0"/>
    </xf>
    <xf numFmtId="0" fontId="0" fillId="12" borderId="13" xfId="0" applyFill="1" applyBorder="1" applyAlignment="1" applyProtection="1">
      <alignment vertical="center" wrapText="1"/>
      <protection locked="0"/>
    </xf>
    <xf numFmtId="0" fontId="0" fillId="12" borderId="28" xfId="0" applyFill="1" applyBorder="1" applyAlignment="1" applyProtection="1">
      <alignment vertical="center" wrapText="1"/>
      <protection locked="0"/>
    </xf>
    <xf numFmtId="0" fontId="0" fillId="12" borderId="11" xfId="2" applyNumberFormat="1" applyFont="1" applyFill="1" applyBorder="1" applyProtection="1">
      <protection locked="0"/>
    </xf>
    <xf numFmtId="0" fontId="0" fillId="12" borderId="4" xfId="0" applyFill="1" applyBorder="1" applyAlignment="1" applyProtection="1">
      <alignment vertical="center" wrapText="1"/>
      <protection locked="0"/>
    </xf>
    <xf numFmtId="0" fontId="0" fillId="12" borderId="12" xfId="0" applyFill="1" applyBorder="1" applyAlignment="1" applyProtection="1">
      <alignment vertical="center" wrapText="1"/>
      <protection locked="0"/>
    </xf>
    <xf numFmtId="0" fontId="30" fillId="12" borderId="0" xfId="0" applyFont="1" applyFill="1" applyProtection="1">
      <protection locked="0"/>
    </xf>
    <xf numFmtId="0" fontId="0" fillId="12" borderId="4" xfId="0" applyFill="1" applyBorder="1" applyAlignment="1" applyProtection="1">
      <alignment horizontal="right" wrapText="1"/>
      <protection locked="0"/>
    </xf>
    <xf numFmtId="0" fontId="0" fillId="12" borderId="5" xfId="0" applyFill="1" applyBorder="1" applyAlignment="1" applyProtection="1">
      <alignment horizontal="center" wrapText="1"/>
      <protection locked="0"/>
    </xf>
    <xf numFmtId="0" fontId="0" fillId="12" borderId="5" xfId="0" applyFill="1" applyBorder="1" applyAlignment="1">
      <alignment horizontal="center" wrapText="1"/>
    </xf>
    <xf numFmtId="9" fontId="0" fillId="0" borderId="28" xfId="0" applyNumberFormat="1" applyBorder="1"/>
    <xf numFmtId="9" fontId="0" fillId="0" borderId="4" xfId="0" applyNumberFormat="1" applyBorder="1"/>
    <xf numFmtId="9" fontId="0" fillId="0" borderId="12" xfId="0" applyNumberFormat="1" applyBorder="1"/>
    <xf numFmtId="0" fontId="4" fillId="3" borderId="36" xfId="0" applyFont="1" applyFill="1" applyBorder="1" applyAlignment="1" applyProtection="1">
      <alignment horizontal="center" vertical="center" wrapText="1"/>
    </xf>
    <xf numFmtId="0" fontId="4" fillId="3" borderId="37" xfId="0" applyFont="1" applyFill="1" applyBorder="1" applyAlignment="1" applyProtection="1">
      <alignment horizontal="center" vertical="center" wrapText="1"/>
    </xf>
    <xf numFmtId="0" fontId="4" fillId="3" borderId="37" xfId="0" applyFont="1" applyFill="1" applyBorder="1" applyAlignment="1" applyProtection="1">
      <alignment horizontal="center" vertical="center"/>
    </xf>
    <xf numFmtId="0" fontId="4" fillId="3" borderId="38" xfId="0" applyFont="1" applyFill="1" applyBorder="1" applyAlignment="1" applyProtection="1">
      <alignment horizontal="center" vertical="center"/>
    </xf>
    <xf numFmtId="0" fontId="3" fillId="15" borderId="12" xfId="0" applyFont="1" applyFill="1" applyBorder="1" applyAlignment="1" applyProtection="1">
      <alignment wrapText="1"/>
    </xf>
    <xf numFmtId="0" fontId="0" fillId="15" borderId="13" xfId="0" applyFill="1" applyBorder="1" applyProtection="1"/>
    <xf numFmtId="0" fontId="9" fillId="0" borderId="0" xfId="0" applyFont="1" applyAlignment="1" applyProtection="1">
      <alignment wrapText="1"/>
    </xf>
    <xf numFmtId="0" fontId="24" fillId="0" borderId="0" xfId="0" applyFont="1" applyProtection="1"/>
    <xf numFmtId="1" fontId="9" fillId="0" borderId="5" xfId="0" applyNumberFormat="1" applyFont="1" applyBorder="1" applyAlignment="1" applyProtection="1">
      <alignment horizontal="center"/>
    </xf>
    <xf numFmtId="1" fontId="9" fillId="0" borderId="2" xfId="0" applyNumberFormat="1" applyFont="1" applyFill="1" applyBorder="1" applyProtection="1"/>
    <xf numFmtId="0" fontId="9" fillId="0" borderId="5" xfId="0" applyFont="1" applyFill="1" applyBorder="1" applyProtection="1"/>
    <xf numFmtId="164" fontId="9" fillId="0" borderId="2" xfId="0" applyNumberFormat="1" applyFont="1" applyFill="1" applyBorder="1" applyProtection="1"/>
    <xf numFmtId="164" fontId="9" fillId="0" borderId="5" xfId="0" applyNumberFormat="1" applyFont="1" applyFill="1" applyBorder="1" applyProtection="1"/>
    <xf numFmtId="164" fontId="9" fillId="0" borderId="13" xfId="0" applyNumberFormat="1" applyFont="1" applyFill="1" applyBorder="1" applyProtection="1"/>
    <xf numFmtId="164" fontId="24" fillId="0" borderId="0" xfId="1" applyFont="1" applyProtection="1"/>
    <xf numFmtId="0" fontId="9" fillId="0" borderId="3" xfId="0" applyFont="1" applyBorder="1" applyAlignment="1" applyProtection="1">
      <alignment wrapText="1"/>
    </xf>
    <xf numFmtId="164" fontId="9" fillId="0" borderId="13" xfId="1" applyFont="1" applyBorder="1" applyProtection="1"/>
    <xf numFmtId="0" fontId="9" fillId="0" borderId="2" xfId="0" applyFont="1" applyBorder="1" applyProtection="1"/>
    <xf numFmtId="164" fontId="9" fillId="0" borderId="13" xfId="0" applyNumberFormat="1" applyFont="1" applyBorder="1" applyProtection="1"/>
    <xf numFmtId="2" fontId="9" fillId="18" borderId="13" xfId="0" applyNumberFormat="1" applyFont="1" applyFill="1" applyBorder="1" applyProtection="1"/>
    <xf numFmtId="2" fontId="0" fillId="0" borderId="2" xfId="0" applyNumberFormat="1" applyFill="1" applyBorder="1" applyAlignment="1" applyProtection="1">
      <alignment wrapText="1"/>
    </xf>
    <xf numFmtId="0" fontId="9" fillId="0" borderId="2" xfId="0" applyFont="1" applyBorder="1" applyAlignment="1" applyProtection="1">
      <alignment wrapText="1"/>
    </xf>
    <xf numFmtId="2" fontId="0" fillId="0" borderId="11" xfId="0" applyNumberFormat="1" applyFill="1" applyBorder="1" applyAlignment="1" applyProtection="1">
      <alignment wrapText="1"/>
    </xf>
    <xf numFmtId="0" fontId="9" fillId="0" borderId="11" xfId="0" applyFont="1" applyBorder="1" applyAlignment="1" applyProtection="1">
      <alignment wrapText="1"/>
    </xf>
    <xf numFmtId="0" fontId="9" fillId="0" borderId="19" xfId="0" applyFont="1" applyBorder="1" applyAlignment="1" applyProtection="1">
      <alignment wrapText="1"/>
    </xf>
    <xf numFmtId="0" fontId="9" fillId="0" borderId="68" xfId="0" applyFont="1" applyBorder="1" applyAlignment="1" applyProtection="1">
      <alignment wrapText="1"/>
    </xf>
    <xf numFmtId="0" fontId="9" fillId="0" borderId="55" xfId="0" applyFont="1" applyBorder="1" applyAlignment="1" applyProtection="1">
      <alignment wrapText="1"/>
    </xf>
    <xf numFmtId="43" fontId="0" fillId="0" borderId="69" xfId="0" applyNumberFormat="1" applyBorder="1" applyProtection="1"/>
    <xf numFmtId="164" fontId="9" fillId="0" borderId="3" xfId="0" applyNumberFormat="1" applyFont="1" applyBorder="1" applyProtection="1"/>
    <xf numFmtId="164" fontId="9" fillId="0" borderId="14" xfId="0" applyNumberFormat="1" applyFont="1" applyBorder="1" applyProtection="1"/>
    <xf numFmtId="165" fontId="24" fillId="0" borderId="2" xfId="1" applyNumberFormat="1" applyFont="1" applyBorder="1" applyAlignment="1" applyProtection="1">
      <alignment horizontal="center" vertical="center"/>
    </xf>
    <xf numFmtId="165" fontId="24" fillId="0" borderId="3" xfId="1" applyNumberFormat="1" applyFont="1" applyBorder="1" applyAlignment="1" applyProtection="1">
      <alignment horizontal="center" vertical="center"/>
    </xf>
    <xf numFmtId="165" fontId="24" fillId="0" borderId="5" xfId="1" applyNumberFormat="1" applyFont="1" applyBorder="1" applyAlignment="1" applyProtection="1">
      <alignment horizontal="center" vertical="center"/>
    </xf>
    <xf numFmtId="165" fontId="24" fillId="0" borderId="6" xfId="1" applyNumberFormat="1"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5" xfId="0" applyFont="1" applyBorder="1" applyAlignment="1" applyProtection="1">
      <alignment horizontal="center" vertical="center"/>
    </xf>
    <xf numFmtId="165" fontId="9" fillId="0" borderId="32" xfId="0" applyNumberFormat="1" applyFont="1" applyFill="1" applyBorder="1" applyProtection="1"/>
    <xf numFmtId="165" fontId="9" fillId="0" borderId="3" xfId="0" applyNumberFormat="1" applyFont="1" applyBorder="1" applyProtection="1"/>
    <xf numFmtId="165" fontId="9" fillId="0" borderId="14" xfId="0" applyNumberFormat="1" applyFont="1" applyBorder="1" applyProtection="1"/>
    <xf numFmtId="166" fontId="9" fillId="0" borderId="45" xfId="2" applyNumberFormat="1" applyFont="1" applyBorder="1" applyAlignment="1" applyProtection="1">
      <alignment horizontal="center" vertical="center"/>
    </xf>
    <xf numFmtId="166" fontId="9" fillId="0" borderId="29" xfId="2" applyNumberFormat="1" applyFont="1" applyBorder="1" applyAlignment="1" applyProtection="1">
      <alignment horizontal="center" vertical="center"/>
    </xf>
    <xf numFmtId="164" fontId="8" fillId="0" borderId="11" xfId="1" applyFont="1" applyFill="1" applyBorder="1" applyAlignment="1" applyProtection="1">
      <alignment horizontal="center" vertical="center"/>
    </xf>
    <xf numFmtId="164" fontId="8" fillId="0" borderId="5" xfId="1" applyFont="1" applyFill="1" applyBorder="1" applyAlignment="1" applyProtection="1">
      <alignment horizontal="center" vertical="center"/>
    </xf>
    <xf numFmtId="164" fontId="8" fillId="0" borderId="29" xfId="1" applyFont="1" applyFill="1" applyBorder="1" applyAlignment="1" applyProtection="1">
      <alignment horizontal="center" vertical="center"/>
    </xf>
    <xf numFmtId="164" fontId="8" fillId="0" borderId="6" xfId="1" applyFont="1" applyFill="1" applyBorder="1" applyAlignment="1" applyProtection="1">
      <alignment horizontal="center" vertical="center"/>
    </xf>
    <xf numFmtId="164" fontId="9" fillId="0" borderId="5" xfId="1" applyFont="1" applyFill="1" applyBorder="1" applyAlignment="1" applyProtection="1">
      <alignment horizontal="center" vertical="center"/>
    </xf>
    <xf numFmtId="164" fontId="9" fillId="0" borderId="6" xfId="1" applyFont="1" applyFill="1" applyBorder="1" applyAlignment="1" applyProtection="1">
      <alignment horizontal="center" vertical="center"/>
    </xf>
    <xf numFmtId="2" fontId="32" fillId="5" borderId="37" xfId="0" applyNumberFormat="1" applyFont="1" applyFill="1" applyBorder="1" applyAlignment="1" applyProtection="1">
      <alignment horizontal="center" vertical="center"/>
    </xf>
    <xf numFmtId="2" fontId="32" fillId="5" borderId="38" xfId="0" applyNumberFormat="1" applyFont="1" applyFill="1" applyBorder="1" applyAlignment="1" applyProtection="1">
      <alignment horizontal="center" vertical="center"/>
    </xf>
    <xf numFmtId="2" fontId="9" fillId="0" borderId="43" xfId="0" applyNumberFormat="1" applyFont="1" applyFill="1" applyBorder="1" applyProtection="1"/>
    <xf numFmtId="2" fontId="0" fillId="0" borderId="35" xfId="0" applyNumberFormat="1" applyFill="1" applyBorder="1" applyProtection="1"/>
    <xf numFmtId="165" fontId="9" fillId="0" borderId="43" xfId="0" applyNumberFormat="1" applyFont="1" applyFill="1" applyBorder="1" applyProtection="1"/>
    <xf numFmtId="9" fontId="9" fillId="0" borderId="35" xfId="2" applyFont="1" applyFill="1" applyBorder="1" applyProtection="1"/>
    <xf numFmtId="0" fontId="9" fillId="0" borderId="53" xfId="0" applyFont="1" applyBorder="1" applyProtection="1"/>
    <xf numFmtId="0" fontId="9" fillId="0" borderId="53" xfId="0" applyFont="1" applyFill="1" applyBorder="1" applyAlignment="1" applyProtection="1">
      <alignment horizontal="center"/>
    </xf>
    <xf numFmtId="2" fontId="9" fillId="14" borderId="21" xfId="0" applyNumberFormat="1" applyFont="1" applyFill="1" applyBorder="1" applyProtection="1"/>
    <xf numFmtId="2" fontId="9" fillId="14" borderId="56" xfId="0" applyNumberFormat="1" applyFont="1" applyFill="1" applyBorder="1" applyProtection="1"/>
    <xf numFmtId="10" fontId="9" fillId="14" borderId="56" xfId="0" applyNumberFormat="1" applyFont="1" applyFill="1" applyBorder="1" applyProtection="1"/>
    <xf numFmtId="0" fontId="9" fillId="0" borderId="65" xfId="0" applyFont="1" applyBorder="1" applyProtection="1"/>
    <xf numFmtId="166" fontId="32" fillId="0" borderId="43" xfId="2" applyNumberFormat="1" applyFont="1" applyBorder="1" applyProtection="1"/>
    <xf numFmtId="2" fontId="4" fillId="0" borderId="43" xfId="0" applyNumberFormat="1" applyFont="1" applyBorder="1" applyProtection="1"/>
    <xf numFmtId="0" fontId="0" fillId="0" borderId="6" xfId="0" applyBorder="1" applyProtection="1"/>
    <xf numFmtId="0" fontId="0" fillId="0" borderId="14" xfId="0" applyBorder="1" applyProtection="1"/>
    <xf numFmtId="164" fontId="7" fillId="0" borderId="5" xfId="1" applyNumberFormat="1" applyFont="1" applyFill="1" applyBorder="1" applyAlignment="1" applyProtection="1">
      <alignment horizontal="center" vertical="center"/>
    </xf>
    <xf numFmtId="164" fontId="1" fillId="0" borderId="5" xfId="1" applyFont="1" applyFill="1" applyBorder="1" applyAlignment="1" applyProtection="1">
      <alignment horizontal="center" vertical="center"/>
    </xf>
    <xf numFmtId="0" fontId="4" fillId="3" borderId="0" xfId="0" applyFont="1" applyFill="1" applyBorder="1" applyAlignment="1">
      <alignment horizontal="left"/>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1" fillId="0" borderId="74" xfId="0" applyFont="1" applyBorder="1" applyAlignment="1">
      <alignment vertical="center" wrapText="1"/>
    </xf>
    <xf numFmtId="0" fontId="0" fillId="0" borderId="75" xfId="0" applyFont="1" applyBorder="1" applyAlignment="1">
      <alignment vertical="center" wrapText="1"/>
    </xf>
    <xf numFmtId="15" fontId="0" fillId="0" borderId="75" xfId="0" applyNumberFormat="1" applyFont="1" applyBorder="1" applyAlignment="1">
      <alignment vertical="center" wrapText="1"/>
    </xf>
    <xf numFmtId="0" fontId="0" fillId="0" borderId="69" xfId="0" applyBorder="1"/>
    <xf numFmtId="0" fontId="0" fillId="12" borderId="69" xfId="0" applyFill="1" applyBorder="1" applyProtection="1">
      <protection locked="0"/>
    </xf>
    <xf numFmtId="0" fontId="9" fillId="0" borderId="69" xfId="0" applyFont="1" applyBorder="1" applyProtection="1"/>
    <xf numFmtId="0" fontId="4" fillId="12" borderId="69" xfId="0" applyFont="1" applyFill="1" applyBorder="1" applyAlignment="1" applyProtection="1">
      <alignment horizontal="center"/>
      <protection locked="0"/>
    </xf>
    <xf numFmtId="0" fontId="9" fillId="0" borderId="69" xfId="0" applyFont="1" applyFill="1" applyBorder="1" applyAlignment="1" applyProtection="1">
      <alignment horizontal="center"/>
    </xf>
    <xf numFmtId="0" fontId="4" fillId="9" borderId="43" xfId="0" applyFont="1" applyFill="1" applyBorder="1" applyAlignment="1">
      <alignment horizontal="center" vertical="center"/>
    </xf>
    <xf numFmtId="0" fontId="4" fillId="9" borderId="43" xfId="0" applyFont="1" applyFill="1" applyBorder="1" applyAlignment="1">
      <alignment horizontal="center" vertical="center" wrapText="1"/>
    </xf>
    <xf numFmtId="0" fontId="4" fillId="9" borderId="35" xfId="0" applyFont="1" applyFill="1" applyBorder="1" applyAlignment="1">
      <alignment horizontal="center" vertical="center" wrapText="1"/>
    </xf>
    <xf numFmtId="0" fontId="0" fillId="0" borderId="77" xfId="0" applyBorder="1"/>
    <xf numFmtId="0" fontId="9" fillId="0" borderId="77" xfId="0" applyFont="1" applyBorder="1" applyProtection="1"/>
    <xf numFmtId="0" fontId="4" fillId="16" borderId="43" xfId="0" applyFont="1" applyFill="1" applyBorder="1"/>
    <xf numFmtId="0" fontId="32" fillId="16" borderId="43" xfId="0" applyFont="1" applyFill="1" applyBorder="1" applyProtection="1"/>
    <xf numFmtId="2" fontId="32" fillId="16" borderId="43" xfId="0" applyNumberFormat="1" applyFont="1" applyFill="1" applyBorder="1" applyProtection="1"/>
    <xf numFmtId="2" fontId="32" fillId="16" borderId="43" xfId="0" applyNumberFormat="1" applyFont="1" applyFill="1" applyBorder="1" applyAlignment="1" applyProtection="1">
      <alignment horizontal="center"/>
    </xf>
    <xf numFmtId="0" fontId="32" fillId="16" borderId="43" xfId="0" applyFont="1" applyFill="1" applyBorder="1" applyAlignment="1" applyProtection="1">
      <alignment horizontal="center"/>
    </xf>
    <xf numFmtId="0" fontId="4" fillId="0" borderId="35" xfId="0" applyFont="1" applyFill="1" applyBorder="1" applyAlignment="1">
      <alignment horizontal="center" wrapText="1"/>
    </xf>
    <xf numFmtId="0" fontId="4" fillId="16" borderId="33" xfId="0" applyFont="1" applyFill="1" applyBorder="1"/>
    <xf numFmtId="0" fontId="4" fillId="16" borderId="34" xfId="0" applyFont="1" applyFill="1" applyBorder="1"/>
    <xf numFmtId="2" fontId="4" fillId="16" borderId="34" xfId="0" applyNumberFormat="1" applyFont="1" applyFill="1" applyBorder="1"/>
    <xf numFmtId="0" fontId="32" fillId="16" borderId="34" xfId="0" applyFont="1" applyFill="1" applyBorder="1" applyProtection="1"/>
    <xf numFmtId="2" fontId="4" fillId="16" borderId="34" xfId="0" applyNumberFormat="1" applyFont="1" applyFill="1" applyBorder="1" applyAlignment="1">
      <alignment horizontal="center"/>
    </xf>
    <xf numFmtId="0" fontId="32" fillId="16" borderId="35" xfId="0" applyFont="1" applyFill="1" applyBorder="1" applyAlignment="1" applyProtection="1">
      <alignment horizontal="center"/>
    </xf>
    <xf numFmtId="0" fontId="0" fillId="16" borderId="11" xfId="0" applyFill="1" applyBorder="1" applyAlignment="1">
      <alignment horizontal="center" vertical="center" wrapText="1"/>
    </xf>
    <xf numFmtId="0" fontId="0" fillId="13" borderId="1" xfId="0" applyFill="1" applyBorder="1" applyAlignment="1">
      <alignment horizontal="center" vertical="center" wrapText="1"/>
    </xf>
    <xf numFmtId="0" fontId="0" fillId="13" borderId="3" xfId="0" applyFill="1" applyBorder="1" applyAlignment="1">
      <alignment horizontal="center" vertical="center" wrapText="1"/>
    </xf>
    <xf numFmtId="0" fontId="4" fillId="0" borderId="0" xfId="0" applyFont="1" applyFill="1" applyBorder="1" applyAlignment="1">
      <alignment horizontal="center" vertical="center"/>
    </xf>
    <xf numFmtId="0" fontId="9" fillId="0" borderId="0" xfId="0" applyFont="1" applyFill="1" applyBorder="1"/>
    <xf numFmtId="0" fontId="4" fillId="13" borderId="36" xfId="0" applyFont="1" applyFill="1" applyBorder="1" applyAlignment="1">
      <alignment horizontal="center" vertical="center" wrapText="1"/>
    </xf>
    <xf numFmtId="0" fontId="4" fillId="13" borderId="37" xfId="0" applyFont="1" applyFill="1" applyBorder="1" applyAlignment="1">
      <alignment horizontal="center" vertical="center" wrapText="1"/>
    </xf>
    <xf numFmtId="0" fontId="4" fillId="16" borderId="36" xfId="0" applyFont="1" applyFill="1" applyBorder="1" applyAlignment="1">
      <alignment horizontal="center" vertical="center" wrapText="1"/>
    </xf>
    <xf numFmtId="0" fontId="4" fillId="16" borderId="37" xfId="0" applyFont="1" applyFill="1" applyBorder="1" applyAlignment="1">
      <alignment horizontal="center" vertical="center" wrapText="1"/>
    </xf>
    <xf numFmtId="0" fontId="3" fillId="3" borderId="5" xfId="0" applyFont="1" applyFill="1" applyBorder="1" applyAlignment="1" applyProtection="1">
      <alignment wrapText="1"/>
      <protection locked="0"/>
    </xf>
    <xf numFmtId="0" fontId="9" fillId="0" borderId="2" xfId="0" applyFont="1" applyFill="1" applyBorder="1" applyAlignment="1" applyProtection="1">
      <alignment vertical="center" wrapText="1"/>
    </xf>
    <xf numFmtId="0" fontId="9" fillId="0" borderId="5" xfId="0" applyFont="1" applyFill="1" applyBorder="1" applyAlignment="1" applyProtection="1">
      <alignment vertical="center" wrapText="1"/>
    </xf>
    <xf numFmtId="2" fontId="9" fillId="0" borderId="10" xfId="0" applyNumberFormat="1" applyFont="1" applyFill="1" applyBorder="1" applyAlignment="1" applyProtection="1">
      <alignment vertical="center"/>
    </xf>
    <xf numFmtId="0" fontId="9" fillId="0" borderId="5" xfId="0" applyFont="1" applyFill="1" applyBorder="1" applyAlignment="1" applyProtection="1">
      <alignment vertical="center"/>
    </xf>
    <xf numFmtId="0" fontId="9" fillId="0" borderId="0" xfId="0" applyFont="1" applyFill="1" applyProtection="1"/>
    <xf numFmtId="2" fontId="9" fillId="0" borderId="5" xfId="0" applyNumberFormat="1" applyFont="1" applyFill="1" applyBorder="1" applyProtection="1"/>
    <xf numFmtId="2" fontId="32" fillId="0" borderId="35" xfId="0" applyNumberFormat="1" applyFont="1" applyFill="1" applyBorder="1" applyAlignment="1" applyProtection="1">
      <alignment horizontal="left" wrapText="1"/>
    </xf>
    <xf numFmtId="0" fontId="33" fillId="0" borderId="69" xfId="0" applyFont="1" applyFill="1" applyBorder="1" applyProtection="1"/>
    <xf numFmtId="0" fontId="0" fillId="0" borderId="0" xfId="0" applyProtection="1"/>
    <xf numFmtId="0" fontId="9" fillId="0" borderId="10"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2" fontId="0" fillId="0" borderId="5" xfId="0" applyNumberFormat="1" applyBorder="1" applyAlignment="1" applyProtection="1">
      <alignment horizontal="right" vertical="center"/>
    </xf>
    <xf numFmtId="2" fontId="0" fillId="0" borderId="13" xfId="0" applyNumberFormat="1" applyBorder="1" applyAlignment="1" applyProtection="1">
      <alignment horizontal="right" vertical="center"/>
    </xf>
    <xf numFmtId="171" fontId="0" fillId="0" borderId="4" xfId="0" applyNumberFormat="1" applyFill="1" applyBorder="1" applyAlignment="1" applyProtection="1">
      <alignment horizontal="right" vertical="center"/>
    </xf>
    <xf numFmtId="2" fontId="0" fillId="0" borderId="6" xfId="0" applyNumberFormat="1" applyBorder="1" applyAlignment="1" applyProtection="1">
      <alignment horizontal="right" vertical="center"/>
    </xf>
    <xf numFmtId="171" fontId="0" fillId="0" borderId="12" xfId="0" applyNumberFormat="1" applyFill="1" applyBorder="1" applyAlignment="1" applyProtection="1">
      <alignment horizontal="right" vertical="center"/>
    </xf>
    <xf numFmtId="2" fontId="0" fillId="0" borderId="14" xfId="0" applyNumberFormat="1" applyBorder="1" applyAlignment="1" applyProtection="1">
      <alignment horizontal="right" vertical="center"/>
    </xf>
    <xf numFmtId="164" fontId="0" fillId="0" borderId="5" xfId="0" applyNumberFormat="1" applyBorder="1" applyAlignment="1" applyProtection="1">
      <alignment horizontal="right" vertical="center"/>
    </xf>
    <xf numFmtId="0" fontId="9" fillId="0" borderId="11" xfId="0" applyFont="1" applyBorder="1" applyProtection="1"/>
    <xf numFmtId="2" fontId="32" fillId="0" borderId="38" xfId="2" applyNumberFormat="1" applyFont="1" applyBorder="1" applyProtection="1"/>
    <xf numFmtId="0" fontId="32" fillId="0" borderId="37" xfId="0" applyFont="1" applyBorder="1" applyAlignment="1" applyProtection="1">
      <alignment horizontal="center" vertical="center" wrapText="1"/>
    </xf>
    <xf numFmtId="0" fontId="9" fillId="0" borderId="6" xfId="0" applyFont="1" applyFill="1" applyBorder="1" applyProtection="1"/>
    <xf numFmtId="2" fontId="4" fillId="0" borderId="3" xfId="2" applyNumberFormat="1" applyFont="1" applyBorder="1" applyProtection="1"/>
    <xf numFmtId="0" fontId="0" fillId="5" borderId="4" xfId="0" applyFill="1" applyBorder="1" applyAlignment="1" applyProtection="1">
      <alignment horizontal="left" vertical="center" wrapText="1"/>
    </xf>
    <xf numFmtId="0" fontId="0" fillId="0" borderId="5" xfId="0" applyBorder="1" applyAlignment="1" applyProtection="1">
      <alignment horizontal="center" vertical="center"/>
    </xf>
    <xf numFmtId="0" fontId="9" fillId="0" borderId="5" xfId="0" applyFont="1" applyBorder="1" applyAlignment="1" applyProtection="1">
      <alignment horizontal="center" vertical="center"/>
    </xf>
    <xf numFmtId="166" fontId="32" fillId="0" borderId="21" xfId="2" applyNumberFormat="1" applyFont="1" applyBorder="1" applyProtection="1"/>
    <xf numFmtId="2" fontId="32" fillId="0" borderId="21" xfId="2" applyNumberFormat="1" applyFont="1" applyBorder="1" applyProtection="1"/>
    <xf numFmtId="0" fontId="9" fillId="0" borderId="37" xfId="0" applyFont="1" applyBorder="1" applyProtection="1"/>
    <xf numFmtId="0" fontId="9" fillId="0" borderId="6" xfId="0" applyFont="1" applyFill="1" applyBorder="1" applyAlignment="1" applyProtection="1">
      <alignment horizontal="center" vertical="center" wrapText="1"/>
    </xf>
    <xf numFmtId="2" fontId="9" fillId="0" borderId="6" xfId="0" applyNumberFormat="1" applyFont="1" applyFill="1" applyBorder="1" applyAlignment="1" applyProtection="1">
      <alignment horizontal="center" vertical="center" wrapText="1"/>
    </xf>
    <xf numFmtId="2" fontId="32" fillId="0" borderId="32" xfId="0" applyNumberFormat="1" applyFont="1" applyFill="1" applyBorder="1" applyAlignment="1" applyProtection="1">
      <alignment horizontal="center" vertical="center" wrapText="1"/>
    </xf>
    <xf numFmtId="2" fontId="32" fillId="0" borderId="65" xfId="0" applyNumberFormat="1" applyFont="1" applyFill="1" applyBorder="1" applyAlignment="1" applyProtection="1">
      <alignment horizontal="center" vertical="center" wrapText="1"/>
    </xf>
    <xf numFmtId="0" fontId="0" fillId="0" borderId="2" xfId="0" applyFill="1" applyBorder="1" applyProtection="1"/>
    <xf numFmtId="0" fontId="0" fillId="0" borderId="5" xfId="0" applyFill="1" applyBorder="1" applyProtection="1"/>
    <xf numFmtId="0" fontId="0" fillId="0" borderId="13" xfId="0" applyFill="1" applyBorder="1" applyProtection="1"/>
    <xf numFmtId="0" fontId="4" fillId="0" borderId="16" xfId="0" applyFont="1" applyBorder="1" applyAlignment="1" applyProtection="1">
      <alignment horizontal="center"/>
    </xf>
    <xf numFmtId="0" fontId="0" fillId="0" borderId="32" xfId="0" applyBorder="1" applyProtection="1"/>
    <xf numFmtId="0" fontId="0" fillId="15" borderId="14" xfId="0" applyFill="1" applyBorder="1" applyProtection="1"/>
    <xf numFmtId="0" fontId="0" fillId="16" borderId="28" xfId="0" applyFill="1" applyBorder="1" applyAlignment="1" applyProtection="1">
      <alignment horizontal="center" vertical="center" wrapText="1"/>
      <protection locked="0"/>
    </xf>
    <xf numFmtId="0" fontId="0" fillId="16" borderId="11" xfId="0" applyFill="1" applyBorder="1" applyAlignment="1" applyProtection="1">
      <alignment horizontal="center" vertical="center" wrapText="1"/>
      <protection locked="0"/>
    </xf>
    <xf numFmtId="1" fontId="0" fillId="15" borderId="4" xfId="0" applyNumberFormat="1" applyFill="1" applyBorder="1" applyAlignment="1" applyProtection="1">
      <alignment horizontal="right" vertical="center"/>
      <protection locked="0"/>
    </xf>
    <xf numFmtId="1" fontId="0" fillId="15" borderId="12" xfId="0" applyNumberFormat="1" applyFill="1" applyBorder="1" applyAlignment="1" applyProtection="1">
      <alignment horizontal="right" vertical="center"/>
      <protection locked="0"/>
    </xf>
    <xf numFmtId="0" fontId="0" fillId="16" borderId="29" xfId="0" applyFill="1" applyBorder="1" applyAlignment="1" applyProtection="1">
      <alignment horizontal="center" vertical="center" wrapText="1"/>
      <protection locked="0"/>
    </xf>
    <xf numFmtId="0" fontId="4" fillId="13" borderId="37" xfId="0" applyFont="1" applyFill="1" applyBorder="1" applyAlignment="1" applyProtection="1">
      <alignment horizontal="center" vertical="center" wrapText="1"/>
      <protection locked="0"/>
    </xf>
    <xf numFmtId="0" fontId="0" fillId="21" borderId="1" xfId="0" applyFill="1" applyBorder="1" applyAlignment="1" applyProtection="1">
      <alignment wrapText="1"/>
    </xf>
    <xf numFmtId="0" fontId="0" fillId="21" borderId="3" xfId="0" applyFill="1" applyBorder="1" applyProtection="1"/>
    <xf numFmtId="0" fontId="0" fillId="0" borderId="4" xfId="0" applyBorder="1" applyAlignment="1" applyProtection="1">
      <alignment wrapText="1"/>
    </xf>
    <xf numFmtId="9" fontId="0" fillId="0" borderId="6" xfId="0" applyNumberFormat="1" applyBorder="1" applyProtection="1"/>
    <xf numFmtId="0" fontId="0" fillId="0" borderId="12" xfId="0" applyBorder="1" applyAlignment="1" applyProtection="1">
      <alignment wrapText="1"/>
    </xf>
    <xf numFmtId="0" fontId="8" fillId="20" borderId="0" xfId="0" applyFont="1" applyFill="1" applyAlignment="1" applyProtection="1">
      <alignment horizontal="left"/>
    </xf>
    <xf numFmtId="0" fontId="0" fillId="0" borderId="0" xfId="0" quotePrefix="1" applyAlignment="1">
      <alignment horizontal="right"/>
    </xf>
    <xf numFmtId="0" fontId="0" fillId="0" borderId="0" xfId="0" quotePrefix="1" applyAlignment="1">
      <alignment wrapText="1"/>
    </xf>
    <xf numFmtId="0" fontId="0" fillId="12" borderId="6" xfId="0" applyFill="1" applyBorder="1" applyAlignment="1" applyProtection="1">
      <alignment wrapText="1"/>
      <protection locked="0"/>
    </xf>
    <xf numFmtId="0" fontId="0" fillId="0" borderId="0" xfId="0" quotePrefix="1" applyAlignment="1">
      <alignment horizontal="left"/>
    </xf>
    <xf numFmtId="0" fontId="9" fillId="12" borderId="4" xfId="0" applyFont="1" applyFill="1" applyBorder="1" applyAlignment="1" applyProtection="1">
      <alignment horizontal="center" vertical="center"/>
      <protection locked="0"/>
    </xf>
    <xf numFmtId="0" fontId="9" fillId="12" borderId="12" xfId="0" applyFont="1" applyFill="1" applyBorder="1" applyAlignment="1" applyProtection="1">
      <alignment horizontal="center" vertical="center"/>
      <protection locked="0"/>
    </xf>
    <xf numFmtId="0" fontId="0" fillId="4" borderId="0" xfId="0" applyFill="1" applyBorder="1" applyAlignment="1">
      <alignment vertical="center" wrapText="1"/>
    </xf>
    <xf numFmtId="0" fontId="4" fillId="3" borderId="36" xfId="0" applyFont="1" applyFill="1" applyBorder="1" applyAlignment="1">
      <alignment horizontal="center" wrapText="1"/>
    </xf>
    <xf numFmtId="0" fontId="7" fillId="12" borderId="4" xfId="3" applyFont="1" applyFill="1" applyBorder="1" applyAlignment="1" applyProtection="1">
      <alignment horizontal="left" vertical="center"/>
      <protection locked="0"/>
    </xf>
    <xf numFmtId="164" fontId="1" fillId="12" borderId="5" xfId="1" applyFont="1" applyFill="1" applyBorder="1" applyAlignment="1" applyProtection="1">
      <alignment horizontal="center" vertical="center"/>
      <protection locked="0"/>
    </xf>
    <xf numFmtId="164" fontId="1" fillId="12" borderId="6" xfId="1" applyFont="1" applyFill="1" applyBorder="1" applyAlignment="1" applyProtection="1">
      <alignment horizontal="center" vertical="center"/>
      <protection locked="0"/>
    </xf>
    <xf numFmtId="165" fontId="1" fillId="12" borderId="6" xfId="1" applyNumberFormat="1" applyFont="1" applyFill="1" applyBorder="1" applyAlignment="1" applyProtection="1">
      <alignment horizontal="center" vertical="center"/>
      <protection locked="0"/>
    </xf>
    <xf numFmtId="165" fontId="32" fillId="4" borderId="37" xfId="0" applyNumberFormat="1" applyFont="1" applyFill="1" applyBorder="1" applyAlignment="1" applyProtection="1">
      <alignment horizontal="center" vertical="center"/>
    </xf>
    <xf numFmtId="165" fontId="32" fillId="4" borderId="38" xfId="0" applyNumberFormat="1" applyFont="1" applyFill="1" applyBorder="1" applyAlignment="1" applyProtection="1">
      <alignment horizontal="center" vertical="center"/>
    </xf>
    <xf numFmtId="0" fontId="9" fillId="4" borderId="53" xfId="0" applyFont="1" applyFill="1" applyBorder="1" applyProtection="1"/>
    <xf numFmtId="0" fontId="9" fillId="4" borderId="77" xfId="0" applyFont="1" applyFill="1" applyBorder="1" applyProtection="1"/>
    <xf numFmtId="0" fontId="32" fillId="4" borderId="53" xfId="0" applyFont="1" applyFill="1" applyBorder="1" applyAlignment="1" applyProtection="1">
      <alignment horizontal="center"/>
    </xf>
    <xf numFmtId="0" fontId="9" fillId="4" borderId="53" xfId="0" applyFont="1" applyFill="1" applyBorder="1" applyAlignment="1" applyProtection="1">
      <alignment horizontal="center"/>
    </xf>
    <xf numFmtId="0" fontId="32" fillId="4" borderId="77" xfId="0" applyFont="1" applyFill="1" applyBorder="1" applyAlignment="1" applyProtection="1">
      <alignment horizontal="center"/>
    </xf>
    <xf numFmtId="0" fontId="9" fillId="4" borderId="77" xfId="0" applyFont="1" applyFill="1" applyBorder="1" applyAlignment="1" applyProtection="1">
      <alignment horizontal="center"/>
    </xf>
    <xf numFmtId="0" fontId="4" fillId="4" borderId="64" xfId="0" applyFont="1" applyFill="1" applyBorder="1" applyAlignment="1">
      <alignment horizontal="center" wrapText="1"/>
    </xf>
    <xf numFmtId="0" fontId="4" fillId="4" borderId="78" xfId="0" applyFont="1" applyFill="1" applyBorder="1" applyAlignment="1">
      <alignment horizontal="center" wrapText="1"/>
    </xf>
    <xf numFmtId="0" fontId="9" fillId="12" borderId="53" xfId="0" applyFont="1" applyFill="1" applyBorder="1" applyAlignment="1" applyProtection="1">
      <alignment wrapText="1"/>
      <protection locked="0"/>
    </xf>
    <xf numFmtId="0" fontId="9" fillId="4" borderId="6" xfId="0" applyFont="1" applyFill="1" applyBorder="1" applyProtection="1"/>
    <xf numFmtId="2" fontId="0" fillId="4" borderId="6" xfId="0" applyNumberFormat="1" applyFill="1" applyBorder="1" applyAlignment="1" applyProtection="1">
      <alignment horizontal="right" vertical="center"/>
    </xf>
    <xf numFmtId="2" fontId="0" fillId="4" borderId="14" xfId="0" applyNumberFormat="1" applyFill="1" applyBorder="1" applyAlignment="1" applyProtection="1">
      <alignment horizontal="right" vertical="center"/>
    </xf>
    <xf numFmtId="1" fontId="0" fillId="15" borderId="8" xfId="0" applyNumberFormat="1" applyFill="1" applyBorder="1" applyAlignment="1" applyProtection="1">
      <alignment horizontal="right" vertical="center"/>
      <protection locked="0"/>
    </xf>
    <xf numFmtId="1" fontId="0" fillId="15" borderId="39" xfId="0" applyNumberFormat="1" applyFill="1" applyBorder="1" applyAlignment="1" applyProtection="1">
      <alignment horizontal="right" vertical="center"/>
      <protection locked="0"/>
    </xf>
    <xf numFmtId="0" fontId="9" fillId="0" borderId="80" xfId="0" applyFont="1" applyBorder="1" applyProtection="1"/>
    <xf numFmtId="164" fontId="0" fillId="0" borderId="80" xfId="0" applyNumberFormat="1" applyBorder="1" applyAlignment="1" applyProtection="1">
      <alignment horizontal="right" vertical="center"/>
    </xf>
    <xf numFmtId="0" fontId="9" fillId="0" borderId="83" xfId="0" applyFont="1" applyBorder="1" applyProtection="1"/>
    <xf numFmtId="164" fontId="0" fillId="0" borderId="83" xfId="0" applyNumberFormat="1" applyBorder="1" applyAlignment="1" applyProtection="1">
      <alignment horizontal="right" vertical="center"/>
    </xf>
    <xf numFmtId="0" fontId="4" fillId="4" borderId="58" xfId="0" applyFont="1" applyFill="1" applyBorder="1" applyAlignment="1">
      <alignment horizontal="left" wrapText="1"/>
    </xf>
    <xf numFmtId="0" fontId="34" fillId="0" borderId="0" xfId="0" applyFont="1"/>
    <xf numFmtId="0" fontId="0" fillId="15" borderId="5" xfId="0" applyFont="1" applyFill="1" applyBorder="1" applyAlignment="1" applyProtection="1">
      <alignment horizontal="center" vertical="center" wrapText="1"/>
      <protection locked="0"/>
    </xf>
    <xf numFmtId="0" fontId="0" fillId="15" borderId="4" xfId="0" applyFont="1" applyFill="1" applyBorder="1" applyAlignment="1" applyProtection="1">
      <alignment horizontal="center" vertical="center" wrapText="1"/>
      <protection locked="0"/>
    </xf>
    <xf numFmtId="0" fontId="4" fillId="18" borderId="1"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12" fillId="18" borderId="12" xfId="0" applyFont="1" applyFill="1" applyBorder="1" applyAlignment="1">
      <alignment horizontal="center" vertical="center"/>
    </xf>
    <xf numFmtId="0" fontId="4" fillId="18" borderId="14" xfId="0" applyFont="1" applyFill="1" applyBorder="1" applyAlignment="1">
      <alignment horizontal="center" vertical="center"/>
    </xf>
    <xf numFmtId="2" fontId="9" fillId="4" borderId="6" xfId="0" applyNumberFormat="1" applyFont="1" applyFill="1" applyBorder="1" applyProtection="1"/>
    <xf numFmtId="0" fontId="0" fillId="0" borderId="0" xfId="0" applyAlignment="1">
      <alignment horizontal="right" wrapText="1"/>
    </xf>
    <xf numFmtId="0" fontId="0" fillId="9" borderId="5" xfId="0" applyFill="1" applyBorder="1" applyProtection="1">
      <protection locked="0"/>
    </xf>
    <xf numFmtId="0" fontId="5" fillId="0" borderId="0" xfId="0" applyFont="1"/>
    <xf numFmtId="0" fontId="5" fillId="0" borderId="0" xfId="0" applyFont="1" applyAlignment="1">
      <alignment horizontal="right"/>
    </xf>
    <xf numFmtId="0" fontId="5" fillId="4" borderId="0" xfId="0" applyFont="1" applyFill="1"/>
    <xf numFmtId="2" fontId="5" fillId="0" borderId="0" xfId="0" applyNumberFormat="1" applyFont="1"/>
    <xf numFmtId="0" fontId="40" fillId="0" borderId="0" xfId="0" applyFont="1"/>
    <xf numFmtId="0" fontId="0" fillId="12" borderId="19" xfId="0" applyFill="1" applyBorder="1" applyProtection="1">
      <protection locked="0"/>
    </xf>
    <xf numFmtId="0" fontId="0" fillId="12" borderId="9" xfId="0" applyFill="1" applyBorder="1" applyProtection="1">
      <protection locked="0"/>
    </xf>
    <xf numFmtId="0" fontId="0" fillId="12" borderId="50" xfId="0" applyFill="1" applyBorder="1" applyProtection="1">
      <protection locked="0"/>
    </xf>
    <xf numFmtId="2" fontId="0" fillId="0" borderId="0" xfId="0" applyNumberFormat="1" applyFill="1" applyBorder="1" applyAlignment="1" applyProtection="1">
      <alignment horizontal="center"/>
    </xf>
    <xf numFmtId="2" fontId="0" fillId="0" borderId="0" xfId="0" applyNumberFormat="1" applyBorder="1"/>
    <xf numFmtId="2" fontId="0" fillId="0" borderId="35" xfId="0" applyNumberFormat="1" applyBorder="1"/>
    <xf numFmtId="0" fontId="4" fillId="18" borderId="1" xfId="0" applyFont="1" applyFill="1" applyBorder="1" applyAlignment="1">
      <alignment horizontal="left" vertical="center" wrapText="1"/>
    </xf>
    <xf numFmtId="0" fontId="0" fillId="12" borderId="3" xfId="0" applyFill="1" applyBorder="1" applyAlignment="1" applyProtection="1">
      <alignment horizontal="center"/>
      <protection locked="0"/>
    </xf>
    <xf numFmtId="0" fontId="43" fillId="0" borderId="35" xfId="0" applyFont="1" applyBorder="1" applyAlignment="1" applyProtection="1">
      <alignment horizontal="center" vertical="center" wrapText="1"/>
    </xf>
    <xf numFmtId="0" fontId="42" fillId="0" borderId="43" xfId="0" applyFont="1" applyBorder="1" applyAlignment="1" applyProtection="1">
      <alignment horizontal="center" vertical="center" wrapText="1"/>
    </xf>
    <xf numFmtId="0" fontId="43" fillId="0" borderId="0" xfId="0" applyFont="1" applyAlignment="1" applyProtection="1">
      <alignment horizontal="left" vertical="center"/>
    </xf>
    <xf numFmtId="0" fontId="0" fillId="0" borderId="0" xfId="0"/>
    <xf numFmtId="0" fontId="44" fillId="0" borderId="26" xfId="0" applyFont="1" applyBorder="1" applyAlignment="1" applyProtection="1">
      <alignment vertical="center" wrapText="1"/>
    </xf>
    <xf numFmtId="0" fontId="44" fillId="0" borderId="26" xfId="0" applyFont="1" applyBorder="1" applyAlignment="1" applyProtection="1">
      <alignment horizontal="center" vertical="center" wrapText="1"/>
    </xf>
    <xf numFmtId="0" fontId="18" fillId="0" borderId="0" xfId="0" applyFont="1" applyAlignment="1" applyProtection="1">
      <alignment horizontal="justify" vertical="center"/>
    </xf>
    <xf numFmtId="0" fontId="46" fillId="0" borderId="0" xfId="0" applyFont="1" applyAlignment="1" applyProtection="1">
      <alignment horizontal="justify" vertical="center"/>
    </xf>
    <xf numFmtId="0" fontId="47" fillId="0" borderId="0" xfId="0" applyFont="1" applyAlignment="1" applyProtection="1">
      <alignment horizontal="justify" vertical="center"/>
    </xf>
    <xf numFmtId="0" fontId="0" fillId="0" borderId="0" xfId="0" applyAlignment="1" applyProtection="1">
      <alignment horizontal="right"/>
    </xf>
    <xf numFmtId="0" fontId="0" fillId="12" borderId="34" xfId="0" applyFill="1" applyBorder="1" applyProtection="1">
      <protection locked="0"/>
    </xf>
    <xf numFmtId="0" fontId="4" fillId="0" borderId="5" xfId="0" applyFont="1" applyFill="1" applyBorder="1" applyAlignment="1" applyProtection="1">
      <alignment horizontal="center" vertical="center" wrapText="1"/>
    </xf>
    <xf numFmtId="169" fontId="0" fillId="0" borderId="0" xfId="0" applyNumberFormat="1" applyProtection="1"/>
    <xf numFmtId="169" fontId="9" fillId="0" borderId="5" xfId="0" applyNumberFormat="1" applyFont="1" applyFill="1" applyBorder="1" applyAlignment="1" applyProtection="1">
      <alignment horizontal="center" vertical="center" wrapText="1"/>
    </xf>
    <xf numFmtId="169" fontId="0" fillId="4" borderId="5" xfId="0" applyNumberFormat="1" applyFont="1" applyFill="1" applyBorder="1" applyAlignment="1" applyProtection="1">
      <alignment horizontal="center" vertical="center" wrapText="1"/>
    </xf>
    <xf numFmtId="169" fontId="0" fillId="0" borderId="6" xfId="0" applyNumberFormat="1" applyFont="1" applyFill="1" applyBorder="1" applyAlignment="1" applyProtection="1">
      <alignment horizontal="center" vertical="center" wrapText="1"/>
    </xf>
    <xf numFmtId="169" fontId="9" fillId="0" borderId="10" xfId="0" applyNumberFormat="1" applyFont="1" applyFill="1" applyBorder="1" applyAlignment="1" applyProtection="1">
      <alignment horizontal="center" vertical="center" wrapText="1"/>
    </xf>
    <xf numFmtId="169" fontId="0" fillId="0" borderId="10" xfId="0" applyNumberFormat="1" applyFont="1" applyFill="1" applyBorder="1" applyAlignment="1" applyProtection="1">
      <alignment horizontal="center" vertical="center" wrapText="1"/>
    </xf>
    <xf numFmtId="169" fontId="0" fillId="0" borderId="31" xfId="0" applyNumberFormat="1" applyFont="1" applyFill="1" applyBorder="1" applyAlignment="1" applyProtection="1">
      <alignment horizontal="center" vertical="center" wrapText="1"/>
    </xf>
    <xf numFmtId="0" fontId="34" fillId="0" borderId="4" xfId="0" applyFont="1" applyFill="1" applyBorder="1" applyAlignment="1">
      <alignment wrapText="1"/>
    </xf>
    <xf numFmtId="0" fontId="4" fillId="18" borderId="43" xfId="0" applyFont="1" applyFill="1" applyBorder="1" applyAlignment="1">
      <alignment horizontal="center" vertical="center" wrapText="1"/>
    </xf>
    <xf numFmtId="0" fontId="0" fillId="0" borderId="0" xfId="0" applyAlignment="1" applyProtection="1">
      <alignment horizontal="left"/>
    </xf>
    <xf numFmtId="0" fontId="4" fillId="0" borderId="76" xfId="0" applyFont="1" applyFill="1" applyBorder="1" applyAlignment="1" applyProtection="1">
      <alignment horizontal="center" wrapText="1"/>
    </xf>
    <xf numFmtId="0" fontId="0" fillId="16" borderId="2" xfId="0" applyFill="1" applyBorder="1" applyAlignment="1">
      <alignment horizontal="center" vertical="center" wrapText="1"/>
    </xf>
    <xf numFmtId="0" fontId="0" fillId="16" borderId="3" xfId="0" applyFill="1" applyBorder="1" applyAlignment="1" applyProtection="1">
      <alignment horizontal="center" vertical="center" wrapText="1"/>
      <protection locked="0"/>
    </xf>
    <xf numFmtId="0" fontId="0" fillId="15" borderId="2" xfId="0" applyFill="1" applyBorder="1" applyAlignment="1" applyProtection="1">
      <alignment vertical="center"/>
      <protection locked="0"/>
    </xf>
    <xf numFmtId="169" fontId="0" fillId="0" borderId="0" xfId="0" applyNumberFormat="1" applyBorder="1" applyAlignment="1">
      <alignment horizontal="center" vertical="center" wrapText="1"/>
    </xf>
    <xf numFmtId="169" fontId="9" fillId="0" borderId="26" xfId="0" applyNumberFormat="1" applyFont="1" applyBorder="1"/>
    <xf numFmtId="15" fontId="0" fillId="0" borderId="75" xfId="0" applyNumberFormat="1" applyFont="1" applyFill="1" applyBorder="1" applyAlignment="1">
      <alignment vertical="center" wrapText="1"/>
    </xf>
    <xf numFmtId="0" fontId="0" fillId="0" borderId="75" xfId="0" applyFont="1" applyFill="1" applyBorder="1" applyAlignment="1">
      <alignment vertical="center" wrapText="1"/>
    </xf>
    <xf numFmtId="0" fontId="0" fillId="0" borderId="52" xfId="0" applyFill="1" applyBorder="1" applyProtection="1"/>
    <xf numFmtId="0" fontId="0" fillId="0" borderId="53" xfId="0" applyFill="1" applyBorder="1" applyProtection="1"/>
    <xf numFmtId="0" fontId="0" fillId="0" borderId="54" xfId="0" applyFill="1" applyBorder="1" applyProtection="1"/>
    <xf numFmtId="0" fontId="7" fillId="0" borderId="4" xfId="0" applyFont="1" applyFill="1" applyBorder="1" applyAlignment="1">
      <alignment wrapText="1"/>
    </xf>
    <xf numFmtId="0" fontId="50" fillId="0" borderId="52" xfId="0" applyFont="1" applyBorder="1" applyAlignment="1">
      <alignment wrapText="1"/>
    </xf>
    <xf numFmtId="0" fontId="4" fillId="0" borderId="16" xfId="0" applyFont="1" applyFill="1" applyBorder="1" applyAlignment="1">
      <alignment horizontal="center" vertical="center" wrapText="1"/>
    </xf>
    <xf numFmtId="0" fontId="32" fillId="0" borderId="16" xfId="0" applyFont="1" applyFill="1" applyBorder="1" applyAlignment="1" applyProtection="1">
      <alignment horizontal="center" vertical="center" wrapText="1"/>
    </xf>
    <xf numFmtId="2" fontId="32" fillId="0" borderId="18" xfId="0" applyNumberFormat="1" applyFont="1" applyFill="1" applyBorder="1" applyAlignment="1" applyProtection="1">
      <alignment horizontal="center" vertical="center" wrapText="1"/>
    </xf>
    <xf numFmtId="0" fontId="0" fillId="0" borderId="85" xfId="0" applyFont="1" applyFill="1" applyBorder="1" applyAlignment="1">
      <alignment horizontal="center" vertical="center" wrapText="1"/>
    </xf>
    <xf numFmtId="0" fontId="9" fillId="0" borderId="86" xfId="0" applyFont="1" applyFill="1" applyBorder="1" applyAlignment="1" applyProtection="1">
      <alignment horizontal="center" vertical="center" wrapText="1"/>
    </xf>
    <xf numFmtId="169" fontId="9" fillId="0" borderId="86" xfId="0" applyNumberFormat="1" applyFont="1" applyFill="1" applyBorder="1" applyAlignment="1" applyProtection="1">
      <alignment horizontal="center" vertical="center" wrapText="1"/>
    </xf>
    <xf numFmtId="169" fontId="0" fillId="0" borderId="86" xfId="0" applyNumberFormat="1" applyFont="1" applyFill="1" applyBorder="1" applyAlignment="1" applyProtection="1">
      <alignment horizontal="center" vertical="center" wrapText="1"/>
    </xf>
    <xf numFmtId="169" fontId="0" fillId="0" borderId="87" xfId="0" applyNumberFormat="1" applyFont="1" applyFill="1" applyBorder="1" applyAlignment="1" applyProtection="1">
      <alignment horizontal="center" vertical="center" wrapText="1"/>
    </xf>
    <xf numFmtId="0" fontId="0" fillId="0" borderId="0" xfId="0" applyAlignment="1" applyProtection="1">
      <alignment horizontal="right"/>
      <protection locked="0"/>
    </xf>
    <xf numFmtId="0" fontId="9" fillId="0" borderId="0" xfId="0" applyFont="1" applyProtection="1">
      <protection locked="0"/>
    </xf>
    <xf numFmtId="0" fontId="18" fillId="0" borderId="0" xfId="0" applyFont="1" applyAlignment="1">
      <alignment horizontal="justify" vertical="center"/>
    </xf>
    <xf numFmtId="0" fontId="9" fillId="0" borderId="0" xfId="0" applyFont="1" applyBorder="1" applyAlignment="1">
      <alignment horizontal="center"/>
    </xf>
    <xf numFmtId="0" fontId="0" fillId="0" borderId="19" xfId="0" applyBorder="1"/>
    <xf numFmtId="0" fontId="4" fillId="3" borderId="9" xfId="0" applyFont="1" applyFill="1" applyBorder="1" applyAlignment="1">
      <alignment horizontal="center" vertical="center" wrapText="1"/>
    </xf>
    <xf numFmtId="0" fontId="0" fillId="0" borderId="40" xfId="0" applyBorder="1"/>
    <xf numFmtId="0" fontId="0" fillId="0" borderId="21" xfId="0" applyBorder="1"/>
    <xf numFmtId="0" fontId="0" fillId="0" borderId="42" xfId="0" applyBorder="1"/>
    <xf numFmtId="0" fontId="0" fillId="0" borderId="64" xfId="0" quotePrefix="1" applyBorder="1"/>
    <xf numFmtId="0" fontId="0" fillId="0" borderId="27" xfId="0" applyBorder="1"/>
    <xf numFmtId="0" fontId="0" fillId="0" borderId="56" xfId="0" applyBorder="1"/>
    <xf numFmtId="169" fontId="9" fillId="0" borderId="11" xfId="0" applyNumberFormat="1" applyFont="1" applyBorder="1" applyAlignment="1">
      <alignment horizontal="center" vertical="center" wrapText="1"/>
    </xf>
    <xf numFmtId="0" fontId="4" fillId="3" borderId="34" xfId="0" applyFont="1" applyFill="1" applyBorder="1" applyAlignment="1">
      <alignment horizontal="center" vertical="center" wrapText="1"/>
    </xf>
    <xf numFmtId="169" fontId="0" fillId="0" borderId="25" xfId="0" applyNumberFormat="1" applyBorder="1"/>
    <xf numFmtId="169" fontId="9" fillId="0" borderId="5" xfId="0" applyNumberFormat="1" applyFont="1" applyBorder="1"/>
    <xf numFmtId="170" fontId="9" fillId="0" borderId="4" xfId="1" applyNumberFormat="1" applyFont="1" applyBorder="1" applyAlignment="1">
      <alignment horizontal="center" vertical="center" wrapText="1"/>
    </xf>
    <xf numFmtId="170" fontId="9" fillId="0" borderId="12" xfId="1" applyNumberFormat="1" applyFont="1" applyBorder="1" applyAlignment="1">
      <alignment horizontal="center" vertical="center" wrapText="1"/>
    </xf>
    <xf numFmtId="169" fontId="9" fillId="0" borderId="13" xfId="0" applyNumberFormat="1" applyFont="1" applyBorder="1"/>
    <xf numFmtId="170" fontId="9" fillId="0" borderId="28" xfId="1" applyNumberFormat="1" applyFont="1" applyBorder="1" applyAlignment="1">
      <alignment horizontal="center" vertical="center" wrapText="1"/>
    </xf>
    <xf numFmtId="169" fontId="9" fillId="0" borderId="11" xfId="0" applyNumberFormat="1" applyFont="1" applyBorder="1"/>
    <xf numFmtId="169" fontId="9" fillId="15" borderId="29" xfId="0" applyNumberFormat="1" applyFont="1" applyFill="1" applyBorder="1" applyProtection="1">
      <protection locked="0"/>
    </xf>
    <xf numFmtId="169" fontId="9" fillId="15" borderId="6" xfId="0" applyNumberFormat="1" applyFont="1" applyFill="1" applyBorder="1" applyProtection="1">
      <protection locked="0"/>
    </xf>
    <xf numFmtId="169" fontId="9" fillId="15" borderId="14" xfId="0" applyNumberFormat="1" applyFont="1" applyFill="1" applyBorder="1" applyProtection="1">
      <protection locked="0"/>
    </xf>
    <xf numFmtId="169" fontId="0" fillId="0" borderId="23" xfId="0" applyNumberFormat="1" applyBorder="1" applyAlignment="1">
      <alignment horizontal="center" vertical="center" wrapText="1"/>
    </xf>
    <xf numFmtId="169" fontId="0" fillId="0" borderId="26" xfId="0" applyNumberFormat="1" applyBorder="1"/>
    <xf numFmtId="169" fontId="9" fillId="0" borderId="76" xfId="0" applyNumberFormat="1" applyFont="1" applyBorder="1" applyProtection="1">
      <protection locked="0"/>
    </xf>
    <xf numFmtId="169" fontId="9" fillId="0" borderId="64" xfId="0" applyNumberFormat="1" applyFont="1" applyBorder="1" applyProtection="1">
      <protection locked="0"/>
    </xf>
    <xf numFmtId="170" fontId="9" fillId="0" borderId="1" xfId="1" applyNumberFormat="1" applyFont="1" applyBorder="1" applyAlignment="1">
      <alignment horizontal="center" vertical="center" wrapText="1"/>
    </xf>
    <xf numFmtId="169" fontId="9" fillId="0" borderId="2" xfId="0" applyNumberFormat="1" applyFont="1" applyBorder="1"/>
    <xf numFmtId="169" fontId="9" fillId="15" borderId="3" xfId="0" applyNumberFormat="1" applyFont="1" applyFill="1" applyBorder="1" applyProtection="1">
      <protection locked="0"/>
    </xf>
    <xf numFmtId="0" fontId="0" fillId="0" borderId="0" xfId="0" quotePrefix="1" applyAlignment="1">
      <alignment horizontal="left" wrapText="1"/>
    </xf>
    <xf numFmtId="0" fontId="0" fillId="0" borderId="0" xfId="0" applyAlignment="1">
      <alignment horizontal="left" wrapText="1"/>
    </xf>
    <xf numFmtId="0" fontId="5" fillId="2" borderId="0" xfId="0" quotePrefix="1" applyFont="1" applyFill="1" applyAlignment="1">
      <alignment horizontal="left"/>
    </xf>
    <xf numFmtId="0" fontId="5" fillId="2" borderId="0" xfId="0" quotePrefix="1" applyFont="1" applyFill="1" applyAlignment="1">
      <alignment horizontal="left" wrapText="1"/>
    </xf>
    <xf numFmtId="0" fontId="5" fillId="2" borderId="0" xfId="0" applyFont="1" applyFill="1" applyAlignment="1">
      <alignment horizontal="left" wrapText="1"/>
    </xf>
    <xf numFmtId="0" fontId="3" fillId="0" borderId="0" xfId="0" applyFont="1"/>
    <xf numFmtId="0" fontId="6" fillId="5" borderId="57" xfId="0" applyFont="1" applyFill="1" applyBorder="1" applyAlignment="1">
      <alignment horizontal="left"/>
    </xf>
    <xf numFmtId="0" fontId="7" fillId="5" borderId="57" xfId="0" applyFont="1" applyFill="1" applyBorder="1"/>
    <xf numFmtId="0" fontId="34" fillId="3" borderId="37" xfId="0" quotePrefix="1" applyFont="1" applyFill="1" applyBorder="1" applyAlignment="1">
      <alignment horizontal="center" vertical="center" wrapText="1"/>
    </xf>
    <xf numFmtId="169" fontId="9" fillId="0" borderId="1" xfId="1" applyNumberFormat="1" applyFont="1" applyBorder="1" applyAlignment="1">
      <alignment horizontal="center" vertical="center" wrapText="1"/>
    </xf>
    <xf numFmtId="169" fontId="9" fillId="0" borderId="4" xfId="1" applyNumberFormat="1" applyFont="1" applyBorder="1" applyAlignment="1">
      <alignment horizontal="center" vertical="center" wrapText="1"/>
    </xf>
    <xf numFmtId="169" fontId="9" fillId="0" borderId="12" xfId="1" applyNumberFormat="1" applyFont="1" applyBorder="1" applyAlignment="1">
      <alignment horizontal="center" vertical="center" wrapText="1"/>
    </xf>
    <xf numFmtId="169" fontId="0" fillId="0" borderId="22" xfId="1" applyNumberFormat="1" applyFont="1" applyBorder="1" applyAlignment="1">
      <alignment horizontal="center" vertical="center" wrapText="1"/>
    </xf>
    <xf numFmtId="169" fontId="0" fillId="0" borderId="24" xfId="1" applyNumberFormat="1" applyFont="1" applyBorder="1" applyAlignment="1">
      <alignment horizontal="center" vertical="center" wrapText="1"/>
    </xf>
    <xf numFmtId="0" fontId="0" fillId="0" borderId="0" xfId="0" quotePrefix="1" applyAlignment="1">
      <alignment horizontal="right" vertical="center"/>
    </xf>
    <xf numFmtId="2" fontId="0" fillId="15" borderId="6" xfId="0" applyNumberFormat="1" applyFill="1" applyBorder="1" applyAlignment="1" applyProtection="1">
      <alignment horizontal="left" vertical="center" wrapText="1"/>
      <protection locked="0"/>
    </xf>
    <xf numFmtId="0" fontId="4" fillId="3" borderId="71" xfId="0" applyFont="1" applyFill="1" applyBorder="1" applyAlignment="1">
      <alignment horizontal="center" vertical="center" wrapText="1"/>
    </xf>
    <xf numFmtId="0" fontId="0" fillId="13" borderId="20" xfId="0" applyFill="1" applyBorder="1" applyAlignment="1">
      <alignment horizontal="center" vertical="center" wrapText="1"/>
    </xf>
    <xf numFmtId="171" fontId="0" fillId="0" borderId="8" xfId="0" applyNumberFormat="1" applyFill="1" applyBorder="1" applyAlignment="1" applyProtection="1">
      <alignment horizontal="right" vertical="center"/>
    </xf>
    <xf numFmtId="171" fontId="0" fillId="0" borderId="39" xfId="0" applyNumberFormat="1" applyFill="1" applyBorder="1" applyAlignment="1" applyProtection="1">
      <alignment horizontal="right" vertical="center"/>
    </xf>
    <xf numFmtId="0" fontId="44" fillId="0" borderId="65" xfId="0" applyFont="1" applyBorder="1" applyAlignment="1" applyProtection="1">
      <alignment vertical="center" wrapText="1"/>
    </xf>
    <xf numFmtId="0" fontId="44" fillId="0" borderId="65" xfId="0" applyFont="1" applyBorder="1" applyAlignment="1" applyProtection="1">
      <alignment horizontal="center" vertical="center" wrapText="1"/>
    </xf>
    <xf numFmtId="0" fontId="44" fillId="0" borderId="52" xfId="0" applyFont="1" applyBorder="1" applyAlignment="1" applyProtection="1">
      <alignment vertical="center" wrapText="1"/>
    </xf>
    <xf numFmtId="0" fontId="44" fillId="0" borderId="52" xfId="0" applyFont="1" applyBorder="1" applyAlignment="1" applyProtection="1">
      <alignment horizontal="center" vertical="center" wrapText="1"/>
    </xf>
    <xf numFmtId="0" fontId="0" fillId="0" borderId="43" xfId="0" applyBorder="1" applyAlignment="1">
      <alignment horizontal="center" wrapText="1"/>
    </xf>
    <xf numFmtId="0" fontId="43" fillId="0" borderId="43" xfId="0" applyFont="1" applyBorder="1" applyAlignment="1" applyProtection="1">
      <alignment horizontal="center" vertical="center" wrapText="1"/>
    </xf>
    <xf numFmtId="43" fontId="0" fillId="15" borderId="5" xfId="0" applyNumberFormat="1" applyFill="1" applyBorder="1" applyAlignment="1" applyProtection="1">
      <alignment horizontal="right" vertical="center"/>
      <protection locked="0"/>
    </xf>
    <xf numFmtId="43" fontId="0" fillId="15" borderId="13" xfId="0" applyNumberFormat="1" applyFill="1" applyBorder="1" applyAlignment="1" applyProtection="1">
      <alignment horizontal="right" vertical="center"/>
      <protection locked="0"/>
    </xf>
    <xf numFmtId="2" fontId="0" fillId="15" borderId="8" xfId="0" applyNumberFormat="1" applyFill="1" applyBorder="1" applyAlignment="1" applyProtection="1">
      <alignment horizontal="right" vertical="center"/>
      <protection locked="0"/>
    </xf>
    <xf numFmtId="2" fontId="0" fillId="15" borderId="45" xfId="0" applyNumberFormat="1" applyFill="1" applyBorder="1" applyProtection="1">
      <protection locked="0"/>
    </xf>
    <xf numFmtId="2" fontId="0" fillId="15" borderId="11" xfId="0" applyNumberFormat="1" applyFill="1" applyBorder="1" applyProtection="1">
      <protection locked="0"/>
    </xf>
    <xf numFmtId="2" fontId="0" fillId="15" borderId="8" xfId="0" applyNumberFormat="1" applyFill="1" applyBorder="1" applyProtection="1">
      <protection locked="0"/>
    </xf>
    <xf numFmtId="2" fontId="0" fillId="15" borderId="5" xfId="0" applyNumberFormat="1" applyFill="1" applyBorder="1" applyProtection="1">
      <protection locked="0"/>
    </xf>
    <xf numFmtId="2" fontId="0" fillId="15" borderId="39" xfId="0" applyNumberFormat="1" applyFill="1" applyBorder="1" applyProtection="1">
      <protection locked="0"/>
    </xf>
    <xf numFmtId="2" fontId="0" fillId="15" borderId="13" xfId="0" applyNumberFormat="1" applyFill="1" applyBorder="1" applyProtection="1">
      <protection locked="0"/>
    </xf>
    <xf numFmtId="169" fontId="9" fillId="4" borderId="6" xfId="0" applyNumberFormat="1" applyFont="1" applyFill="1" applyBorder="1" applyProtection="1"/>
    <xf numFmtId="169" fontId="9" fillId="0" borderId="6" xfId="0" applyNumberFormat="1" applyFont="1" applyFill="1" applyBorder="1" applyProtection="1"/>
    <xf numFmtId="0" fontId="5" fillId="0" borderId="0" xfId="0" quotePrefix="1" applyFont="1" applyAlignment="1">
      <alignment horizontal="right"/>
    </xf>
    <xf numFmtId="2" fontId="9" fillId="0" borderId="13" xfId="0" applyNumberFormat="1" applyFont="1" applyFill="1" applyBorder="1" applyAlignment="1" applyProtection="1">
      <alignment vertical="center"/>
    </xf>
    <xf numFmtId="0" fontId="9" fillId="0" borderId="13" xfId="0" applyFont="1" applyFill="1" applyBorder="1" applyAlignment="1" applyProtection="1">
      <alignment vertical="center"/>
    </xf>
    <xf numFmtId="0" fontId="0" fillId="12" borderId="29" xfId="0" applyFill="1" applyBorder="1" applyProtection="1">
      <protection locked="0"/>
    </xf>
    <xf numFmtId="0" fontId="5" fillId="0" borderId="0" xfId="0" applyFont="1" applyAlignment="1">
      <alignment wrapText="1"/>
    </xf>
    <xf numFmtId="0" fontId="0" fillId="15" borderId="43" xfId="0" applyFill="1" applyBorder="1" applyAlignment="1" applyProtection="1">
      <alignment vertical="center"/>
      <protection locked="0"/>
    </xf>
    <xf numFmtId="0" fontId="0" fillId="15" borderId="81" xfId="0" applyFill="1" applyBorder="1" applyAlignment="1" applyProtection="1">
      <alignment wrapText="1"/>
      <protection locked="0"/>
    </xf>
    <xf numFmtId="0" fontId="0" fillId="15" borderId="82" xfId="0" applyFill="1" applyBorder="1" applyAlignment="1" applyProtection="1">
      <alignment wrapText="1"/>
      <protection locked="0"/>
    </xf>
    <xf numFmtId="0" fontId="0" fillId="15" borderId="84" xfId="0" applyFill="1" applyBorder="1" applyAlignment="1" applyProtection="1">
      <alignment wrapText="1"/>
      <protection locked="0"/>
    </xf>
    <xf numFmtId="0" fontId="0" fillId="15" borderId="29" xfId="0" applyFill="1" applyBorder="1" applyAlignment="1" applyProtection="1">
      <alignment wrapText="1"/>
      <protection locked="0"/>
    </xf>
    <xf numFmtId="0" fontId="0" fillId="15" borderId="6" xfId="0" applyFill="1" applyBorder="1" applyAlignment="1" applyProtection="1">
      <alignment wrapText="1"/>
      <protection locked="0"/>
    </xf>
    <xf numFmtId="0" fontId="0" fillId="15" borderId="14" xfId="0" applyFill="1" applyBorder="1" applyAlignment="1" applyProtection="1">
      <alignment wrapText="1"/>
      <protection locked="0"/>
    </xf>
    <xf numFmtId="2" fontId="0" fillId="15" borderId="6" xfId="0" applyNumberFormat="1" applyFill="1" applyBorder="1" applyAlignment="1" applyProtection="1">
      <alignment horizontal="right" vertical="center" wrapText="1"/>
      <protection locked="0"/>
    </xf>
    <xf numFmtId="2" fontId="0" fillId="15" borderId="14" xfId="0" applyNumberFormat="1" applyFill="1" applyBorder="1" applyAlignment="1" applyProtection="1">
      <alignment horizontal="right" vertical="center" wrapText="1"/>
      <protection locked="0"/>
    </xf>
    <xf numFmtId="0" fontId="0" fillId="0" borderId="0" xfId="0" applyAlignment="1">
      <alignment horizontal="left" wrapText="1"/>
    </xf>
    <xf numFmtId="0" fontId="0" fillId="0" borderId="0" xfId="0" quotePrefix="1" applyAlignment="1">
      <alignment horizontal="left" wrapText="1"/>
    </xf>
    <xf numFmtId="0" fontId="6" fillId="5" borderId="5" xfId="4" applyFont="1" applyFill="1" applyBorder="1" applyAlignment="1" applyProtection="1">
      <alignment vertical="center"/>
      <protection locked="0"/>
    </xf>
    <xf numFmtId="2" fontId="0" fillId="0" borderId="14" xfId="0" applyNumberFormat="1" applyFill="1" applyBorder="1" applyAlignment="1" applyProtection="1">
      <alignment horizontal="center" vertical="center"/>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2" fontId="0" fillId="0" borderId="6" xfId="0" applyNumberFormat="1" applyBorder="1" applyAlignment="1">
      <alignment horizontal="center" vertical="center"/>
    </xf>
    <xf numFmtId="0" fontId="0" fillId="0" borderId="13" xfId="0" applyBorder="1" applyAlignment="1">
      <alignment horizontal="center" vertical="center"/>
    </xf>
    <xf numFmtId="2" fontId="0" fillId="0" borderId="14" xfId="0" applyNumberFormat="1" applyBorder="1" applyAlignment="1">
      <alignment horizontal="center" vertical="center"/>
    </xf>
    <xf numFmtId="0" fontId="0" fillId="0" borderId="6" xfId="0" applyBorder="1" applyAlignment="1">
      <alignment horizontal="center" vertical="center"/>
    </xf>
    <xf numFmtId="0" fontId="9" fillId="0" borderId="0" xfId="0" applyFont="1" applyAlignment="1">
      <alignment horizontal="center"/>
    </xf>
    <xf numFmtId="0" fontId="9" fillId="0" borderId="0" xfId="0" applyFont="1" applyAlignment="1">
      <alignment horizontal="left" vertical="center"/>
    </xf>
    <xf numFmtId="2" fontId="0" fillId="14" borderId="56" xfId="0" applyNumberFormat="1" applyFill="1" applyBorder="1" applyProtection="1"/>
    <xf numFmtId="0" fontId="0" fillId="0" borderId="0" xfId="0" quotePrefix="1" applyAlignment="1">
      <alignment horizontal="left" wrapText="1"/>
    </xf>
    <xf numFmtId="0" fontId="0" fillId="0" borderId="0" xfId="0" applyAlignment="1">
      <alignment horizontal="left" wrapText="1"/>
    </xf>
    <xf numFmtId="0" fontId="56" fillId="0" borderId="0" xfId="0" applyFont="1"/>
    <xf numFmtId="2" fontId="0" fillId="0" borderId="6" xfId="0" applyNumberFormat="1" applyFill="1" applyBorder="1" applyAlignment="1" applyProtection="1">
      <alignment horizontal="center"/>
    </xf>
    <xf numFmtId="0" fontId="4" fillId="0" borderId="0" xfId="0" applyFont="1" applyAlignment="1">
      <alignment wrapText="1"/>
    </xf>
    <xf numFmtId="0" fontId="6" fillId="3" borderId="37" xfId="0" quotePrefix="1" applyFont="1" applyFill="1" applyBorder="1" applyAlignment="1">
      <alignment horizontal="center" vertical="center" wrapText="1"/>
    </xf>
    <xf numFmtId="2" fontId="9" fillId="0" borderId="11" xfId="0" applyNumberFormat="1" applyFont="1" applyBorder="1" applyAlignment="1" applyProtection="1">
      <alignment horizontal="center" vertical="center"/>
    </xf>
    <xf numFmtId="2" fontId="9" fillId="0" borderId="11" xfId="0" applyNumberFormat="1" applyFont="1" applyBorder="1" applyAlignment="1">
      <alignment horizontal="center" vertical="center"/>
    </xf>
    <xf numFmtId="2" fontId="9" fillId="0" borderId="29" xfId="0" applyNumberFormat="1" applyFont="1" applyBorder="1" applyAlignment="1" applyProtection="1">
      <alignment horizontal="center" vertical="center"/>
    </xf>
    <xf numFmtId="2" fontId="9" fillId="0" borderId="5" xfId="0" applyNumberFormat="1" applyFont="1" applyBorder="1" applyAlignment="1">
      <alignment horizontal="center" vertical="center"/>
    </xf>
    <xf numFmtId="2" fontId="9" fillId="0" borderId="5" xfId="0" applyNumberFormat="1" applyFont="1" applyBorder="1" applyAlignment="1" applyProtection="1">
      <alignment horizontal="center" vertical="center"/>
    </xf>
    <xf numFmtId="2" fontId="0" fillId="0" borderId="5" xfId="0" applyNumberFormat="1" applyBorder="1" applyAlignment="1">
      <alignment horizontal="center" vertical="center"/>
    </xf>
    <xf numFmtId="0" fontId="0" fillId="0" borderId="12" xfId="0" applyBorder="1" applyProtection="1">
      <protection locked="0"/>
    </xf>
    <xf numFmtId="0" fontId="4" fillId="0" borderId="22" xfId="0" applyFont="1" applyFill="1" applyBorder="1"/>
    <xf numFmtId="164" fontId="9" fillId="0" borderId="22" xfId="0" applyNumberFormat="1" applyFont="1" applyFill="1" applyBorder="1" applyProtection="1"/>
    <xf numFmtId="43" fontId="0" fillId="0" borderId="65" xfId="0" applyNumberFormat="1" applyBorder="1" applyProtection="1"/>
    <xf numFmtId="0" fontId="9" fillId="0" borderId="40" xfId="0" applyFont="1" applyBorder="1" applyAlignment="1" applyProtection="1">
      <alignment wrapText="1"/>
    </xf>
    <xf numFmtId="43" fontId="0" fillId="0" borderId="52" xfId="0" applyNumberFormat="1" applyBorder="1" applyProtection="1"/>
    <xf numFmtId="2" fontId="0" fillId="0" borderId="16" xfId="0" applyNumberFormat="1" applyFill="1" applyBorder="1" applyAlignment="1" applyProtection="1">
      <alignment wrapText="1"/>
    </xf>
    <xf numFmtId="2" fontId="0" fillId="0" borderId="18" xfId="0" applyNumberFormat="1" applyFill="1" applyBorder="1" applyAlignment="1" applyProtection="1">
      <alignment wrapText="1"/>
    </xf>
    <xf numFmtId="0" fontId="0" fillId="0" borderId="67" xfId="0" applyFill="1" applyBorder="1" applyAlignment="1" applyProtection="1">
      <alignment wrapText="1"/>
      <protection locked="0"/>
    </xf>
    <xf numFmtId="0" fontId="26" fillId="0" borderId="0" xfId="3" applyFont="1" applyBorder="1" applyAlignment="1" applyProtection="1">
      <alignment horizontal="left"/>
    </xf>
    <xf numFmtId="0" fontId="0" fillId="0" borderId="5" xfId="0" applyBorder="1" applyAlignment="1" applyProtection="1">
      <alignment horizontal="center" wrapText="1"/>
    </xf>
    <xf numFmtId="0" fontId="0" fillId="0" borderId="6" xfId="0" applyBorder="1" applyAlignment="1" applyProtection="1">
      <alignment horizontal="center" wrapText="1"/>
    </xf>
    <xf numFmtId="0" fontId="0" fillId="0" borderId="31" xfId="0" applyBorder="1" applyAlignment="1" applyProtection="1">
      <alignment wrapText="1"/>
    </xf>
    <xf numFmtId="15" fontId="0" fillId="4" borderId="75" xfId="0" applyNumberFormat="1" applyFont="1" applyFill="1" applyBorder="1" applyAlignment="1">
      <alignment vertical="center" wrapText="1"/>
    </xf>
    <xf numFmtId="0" fontId="0" fillId="0" borderId="7" xfId="0" applyFill="1" applyBorder="1"/>
    <xf numFmtId="0" fontId="9" fillId="0" borderId="15" xfId="0" applyFont="1" applyFill="1" applyBorder="1" applyAlignment="1" applyProtection="1">
      <alignment horizontal="center"/>
    </xf>
    <xf numFmtId="0" fontId="0" fillId="0" borderId="61" xfId="0" applyFill="1" applyBorder="1" applyAlignment="1">
      <alignment horizontal="center"/>
    </xf>
    <xf numFmtId="0" fontId="9" fillId="0" borderId="66" xfId="0" applyFont="1" applyFill="1" applyBorder="1" applyAlignment="1" applyProtection="1">
      <alignment horizontal="center"/>
    </xf>
    <xf numFmtId="43" fontId="9" fillId="0" borderId="66" xfId="0" applyNumberFormat="1" applyFont="1" applyFill="1" applyBorder="1" applyAlignment="1" applyProtection="1">
      <alignment horizontal="center"/>
    </xf>
    <xf numFmtId="2" fontId="0" fillId="0" borderId="61" xfId="0" applyNumberFormat="1" applyFill="1" applyBorder="1" applyAlignment="1">
      <alignment horizontal="center"/>
    </xf>
    <xf numFmtId="0" fontId="0" fillId="0" borderId="7" xfId="0" applyFill="1" applyBorder="1" applyAlignment="1">
      <alignment horizontal="center"/>
    </xf>
    <xf numFmtId="0" fontId="4" fillId="0" borderId="24" xfId="0" applyFont="1" applyFill="1" applyBorder="1" applyAlignment="1">
      <alignment horizontal="center"/>
    </xf>
    <xf numFmtId="0" fontId="4" fillId="0" borderId="63" xfId="0" applyFont="1" applyFill="1" applyBorder="1" applyAlignment="1">
      <alignment horizontal="center" vertical="center"/>
    </xf>
    <xf numFmtId="0" fontId="9" fillId="0" borderId="61" xfId="0" applyFont="1" applyFill="1" applyBorder="1" applyProtection="1"/>
    <xf numFmtId="0" fontId="0" fillId="0" borderId="17" xfId="0" applyFill="1" applyBorder="1"/>
    <xf numFmtId="2" fontId="4" fillId="0" borderId="7" xfId="2" applyNumberFormat="1" applyFont="1" applyBorder="1" applyProtection="1"/>
    <xf numFmtId="0" fontId="4" fillId="0" borderId="5" xfId="0" applyFont="1" applyFill="1" applyBorder="1" applyAlignment="1">
      <alignment horizontal="center" vertical="center"/>
    </xf>
    <xf numFmtId="1" fontId="9" fillId="0" borderId="49" xfId="0" applyNumberFormat="1" applyFont="1" applyFill="1" applyBorder="1" applyProtection="1"/>
    <xf numFmtId="0" fontId="0" fillId="0" borderId="48" xfId="0" applyBorder="1" applyAlignment="1">
      <alignment wrapText="1"/>
    </xf>
    <xf numFmtId="0" fontId="9" fillId="0" borderId="10" xfId="0" applyFont="1" applyFill="1" applyBorder="1" applyProtection="1"/>
    <xf numFmtId="0" fontId="0" fillId="0" borderId="10" xfId="0" applyFill="1" applyBorder="1"/>
    <xf numFmtId="0" fontId="9" fillId="0" borderId="31" xfId="0" applyFont="1" applyFill="1" applyBorder="1" applyProtection="1"/>
    <xf numFmtId="0" fontId="9" fillId="0" borderId="57" xfId="0" applyFont="1" applyFill="1" applyBorder="1" applyProtection="1"/>
    <xf numFmtId="0" fontId="0" fillId="4" borderId="7" xfId="0" applyFill="1" applyBorder="1"/>
    <xf numFmtId="0" fontId="4" fillId="0" borderId="30" xfId="0" applyFont="1" applyFill="1" applyBorder="1" applyAlignment="1">
      <alignment horizontal="center" vertical="center"/>
    </xf>
    <xf numFmtId="0" fontId="59" fillId="0" borderId="0" xfId="0" applyFont="1" applyAlignment="1" applyProtection="1">
      <alignment horizontal="left" vertical="center"/>
    </xf>
    <xf numFmtId="0" fontId="5" fillId="0" borderId="0" xfId="0" applyFont="1" applyProtection="1"/>
    <xf numFmtId="0" fontId="5" fillId="0" borderId="0" xfId="0" applyFont="1" applyProtection="1">
      <protection locked="0"/>
    </xf>
    <xf numFmtId="0" fontId="0" fillId="0" borderId="5" xfId="0" applyBorder="1" applyAlignment="1">
      <alignment horizontal="right" vertical="center"/>
    </xf>
    <xf numFmtId="0" fontId="0" fillId="0" borderId="5" xfId="0" applyFill="1" applyBorder="1" applyAlignment="1">
      <alignment horizontal="right" vertical="center"/>
    </xf>
    <xf numFmtId="0" fontId="0" fillId="0" borderId="5" xfId="0" applyBorder="1" applyAlignment="1">
      <alignment horizontal="right"/>
    </xf>
    <xf numFmtId="0" fontId="0" fillId="0" borderId="5" xfId="0" applyFont="1" applyFill="1" applyBorder="1" applyAlignment="1">
      <alignment horizontal="right"/>
    </xf>
    <xf numFmtId="0" fontId="0" fillId="0" borderId="5" xfId="0" applyFill="1" applyBorder="1" applyAlignment="1">
      <alignment horizontal="right"/>
    </xf>
    <xf numFmtId="0" fontId="0" fillId="0" borderId="5" xfId="0" applyBorder="1" applyAlignment="1">
      <alignment horizontal="right" wrapText="1"/>
    </xf>
    <xf numFmtId="0" fontId="1" fillId="0" borderId="74" xfId="0" applyFont="1" applyFill="1" applyBorder="1" applyAlignment="1">
      <alignment vertical="center" wrapText="1"/>
    </xf>
    <xf numFmtId="0" fontId="60" fillId="0" borderId="0" xfId="10"/>
    <xf numFmtId="0" fontId="7" fillId="13" borderId="5" xfId="0" applyFont="1" applyFill="1" applyBorder="1"/>
    <xf numFmtId="0" fontId="0" fillId="13" borderId="5" xfId="0" applyFont="1" applyFill="1" applyBorder="1" applyAlignment="1">
      <alignment vertical="center" wrapText="1"/>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12" xfId="0" applyBorder="1" applyAlignment="1">
      <alignment horizontal="center"/>
    </xf>
    <xf numFmtId="2" fontId="34" fillId="0" borderId="5" xfId="0" applyNumberFormat="1" applyFont="1" applyFill="1" applyBorder="1" applyAlignment="1">
      <alignment horizontal="center" vertical="center"/>
    </xf>
    <xf numFmtId="2" fontId="0" fillId="0" borderId="13" xfId="0" applyNumberFormat="1" applyBorder="1" applyAlignment="1">
      <alignment horizontal="center" vertical="center"/>
    </xf>
    <xf numFmtId="0" fontId="4" fillId="5" borderId="0" xfId="0" applyFont="1" applyFill="1" applyBorder="1" applyAlignment="1">
      <alignment horizontal="center" vertical="center" wrapText="1"/>
    </xf>
    <xf numFmtId="0" fontId="0" fillId="12" borderId="8" xfId="0" applyFill="1" applyBorder="1" applyProtection="1">
      <protection locked="0"/>
    </xf>
    <xf numFmtId="0" fontId="0" fillId="0" borderId="4" xfId="0" applyBorder="1" applyAlignment="1">
      <alignment horizontal="center"/>
    </xf>
    <xf numFmtId="0" fontId="4" fillId="9" borderId="36" xfId="0" applyFont="1" applyFill="1" applyBorder="1" applyAlignment="1">
      <alignment horizontal="center"/>
    </xf>
    <xf numFmtId="0" fontId="4" fillId="9" borderId="38" xfId="0" applyFont="1" applyFill="1" applyBorder="1" applyAlignment="1">
      <alignment horizontal="center"/>
    </xf>
    <xf numFmtId="0" fontId="0" fillId="12" borderId="57" xfId="0" applyFill="1" applyBorder="1" applyProtection="1">
      <protection locked="0"/>
    </xf>
    <xf numFmtId="2" fontId="0" fillId="12" borderId="57" xfId="0" applyNumberFormat="1" applyFill="1" applyBorder="1" applyProtection="1">
      <protection locked="0"/>
    </xf>
    <xf numFmtId="0" fontId="29" fillId="0" borderId="28" xfId="0" applyFont="1" applyBorder="1" applyAlignment="1">
      <alignment horizontal="center"/>
    </xf>
    <xf numFmtId="2" fontId="0" fillId="0" borderId="29" xfId="0" applyNumberFormat="1" applyBorder="1" applyAlignment="1" applyProtection="1">
      <alignment horizontal="center"/>
    </xf>
    <xf numFmtId="2" fontId="0" fillId="0" borderId="6" xfId="0" applyNumberFormat="1" applyBorder="1" applyAlignment="1" applyProtection="1">
      <alignment horizontal="center"/>
    </xf>
    <xf numFmtId="2" fontId="0" fillId="0" borderId="14" xfId="0" applyNumberFormat="1" applyBorder="1" applyAlignment="1" applyProtection="1">
      <alignment horizontal="center"/>
    </xf>
    <xf numFmtId="0" fontId="29" fillId="0" borderId="55" xfId="0" applyFont="1" applyBorder="1" applyAlignment="1">
      <alignment horizontal="center"/>
    </xf>
    <xf numFmtId="0" fontId="0" fillId="0" borderId="42" xfId="0" applyBorder="1" applyAlignment="1">
      <alignment horizontal="center"/>
    </xf>
    <xf numFmtId="0" fontId="0" fillId="0" borderId="27" xfId="0" applyBorder="1" applyAlignment="1">
      <alignment horizontal="center"/>
    </xf>
    <xf numFmtId="2" fontId="0" fillId="0" borderId="69" xfId="0" applyNumberFormat="1" applyBorder="1" applyAlignment="1" applyProtection="1">
      <alignment horizontal="center"/>
    </xf>
    <xf numFmtId="2" fontId="0" fillId="0" borderId="53" xfId="0" applyNumberFormat="1" applyBorder="1" applyAlignment="1" applyProtection="1">
      <alignment horizontal="center"/>
    </xf>
    <xf numFmtId="2" fontId="0" fillId="0" borderId="54" xfId="0" applyNumberFormat="1" applyBorder="1" applyAlignment="1" applyProtection="1">
      <alignment horizontal="center"/>
    </xf>
    <xf numFmtId="165" fontId="9" fillId="0" borderId="42" xfId="1" applyNumberFormat="1" applyFont="1" applyBorder="1" applyProtection="1"/>
    <xf numFmtId="0" fontId="4" fillId="9" borderId="43" xfId="0" applyFont="1" applyFill="1" applyBorder="1" applyAlignment="1">
      <alignment horizontal="center"/>
    </xf>
    <xf numFmtId="172" fontId="34" fillId="0" borderId="6" xfId="0" applyNumberFormat="1" applyFont="1" applyFill="1" applyBorder="1" applyAlignment="1">
      <alignment horizontal="center" vertical="center"/>
    </xf>
    <xf numFmtId="172" fontId="34" fillId="0" borderId="4" xfId="0" applyNumberFormat="1" applyFont="1" applyFill="1" applyBorder="1" applyAlignment="1">
      <alignment horizontal="center" vertical="center"/>
    </xf>
    <xf numFmtId="2" fontId="0" fillId="0" borderId="4" xfId="0" applyNumberFormat="1" applyBorder="1" applyAlignment="1">
      <alignment horizontal="center" vertical="center"/>
    </xf>
    <xf numFmtId="2" fontId="0" fillId="0" borderId="12" xfId="0" applyNumberFormat="1" applyBorder="1" applyAlignment="1">
      <alignment horizontal="center" vertical="center"/>
    </xf>
    <xf numFmtId="0" fontId="4" fillId="5" borderId="41" xfId="0" applyFont="1" applyFill="1" applyBorder="1"/>
    <xf numFmtId="0" fontId="4" fillId="5" borderId="41" xfId="0" applyFont="1" applyFill="1" applyBorder="1" applyAlignment="1">
      <alignment horizontal="left"/>
    </xf>
    <xf numFmtId="0" fontId="18" fillId="0" borderId="25" xfId="0" applyFont="1" applyBorder="1" applyAlignment="1">
      <alignment vertical="center" wrapText="1"/>
    </xf>
    <xf numFmtId="2" fontId="9" fillId="0" borderId="61" xfId="0" applyNumberFormat="1" applyFont="1" applyBorder="1" applyAlignment="1" applyProtection="1">
      <alignment horizontal="center" vertical="center"/>
    </xf>
    <xf numFmtId="0" fontId="17" fillId="11" borderId="0" xfId="0" applyFont="1" applyFill="1" applyBorder="1" applyAlignment="1">
      <alignment horizontal="center" vertical="center" wrapText="1"/>
    </xf>
    <xf numFmtId="0" fontId="18" fillId="0" borderId="0" xfId="0" applyFont="1" applyBorder="1" applyAlignment="1">
      <alignment horizontal="center" vertical="center" wrapText="1"/>
    </xf>
    <xf numFmtId="2" fontId="9" fillId="0" borderId="0" xfId="0" applyNumberFormat="1" applyFont="1" applyFill="1" applyBorder="1" applyAlignment="1" applyProtection="1">
      <alignment horizontal="center" vertical="center" wrapText="1"/>
    </xf>
    <xf numFmtId="2" fontId="32" fillId="0" borderId="0" xfId="0" applyNumberFormat="1" applyFont="1" applyFill="1" applyBorder="1" applyAlignment="1" applyProtection="1">
      <alignment horizontal="center" vertical="center" wrapText="1"/>
    </xf>
    <xf numFmtId="0" fontId="4" fillId="3" borderId="5" xfId="0" applyFont="1" applyFill="1" applyBorder="1" applyAlignment="1">
      <alignment horizontal="center" vertical="center" wrapText="1"/>
    </xf>
    <xf numFmtId="0" fontId="0" fillId="5" borderId="30" xfId="0" applyFill="1" applyBorder="1" applyAlignment="1">
      <alignment horizontal="left" vertical="center" wrapText="1"/>
    </xf>
    <xf numFmtId="2" fontId="9" fillId="0" borderId="10" xfId="0" applyNumberFormat="1" applyFont="1" applyBorder="1" applyAlignment="1">
      <alignment horizontal="center" vertical="center"/>
    </xf>
    <xf numFmtId="2" fontId="9" fillId="0" borderId="10" xfId="0" applyNumberFormat="1" applyFont="1" applyBorder="1" applyAlignment="1" applyProtection="1">
      <alignment horizontal="center" vertical="center"/>
    </xf>
    <xf numFmtId="0" fontId="4" fillId="5" borderId="23" xfId="0" applyFont="1" applyFill="1" applyBorder="1" applyAlignment="1">
      <alignment horizontal="center" vertical="center" wrapText="1"/>
    </xf>
    <xf numFmtId="0" fontId="9" fillId="0" borderId="18" xfId="0" applyFont="1" applyBorder="1" applyAlignment="1" applyProtection="1">
      <alignment horizontal="center" vertical="center"/>
    </xf>
    <xf numFmtId="0" fontId="0" fillId="6" borderId="18" xfId="0" applyFill="1" applyBorder="1" applyAlignment="1">
      <alignment horizontal="center" vertical="center"/>
    </xf>
    <xf numFmtId="0" fontId="9" fillId="0" borderId="32" xfId="0" applyFont="1" applyBorder="1" applyAlignment="1" applyProtection="1">
      <alignment horizontal="center" vertical="center"/>
    </xf>
    <xf numFmtId="0" fontId="4" fillId="5" borderId="36" xfId="0" applyFont="1" applyFill="1" applyBorder="1" applyAlignment="1">
      <alignment horizontal="left" vertical="center" wrapText="1"/>
    </xf>
    <xf numFmtId="0" fontId="9" fillId="0" borderId="37" xfId="0" applyFont="1" applyBorder="1" applyAlignment="1" applyProtection="1">
      <alignment horizontal="center" vertical="center"/>
    </xf>
    <xf numFmtId="2" fontId="9" fillId="6" borderId="37" xfId="0" applyNumberFormat="1" applyFont="1" applyFill="1" applyBorder="1" applyAlignment="1" applyProtection="1">
      <alignment horizontal="center" vertical="center"/>
    </xf>
    <xf numFmtId="0" fontId="0" fillId="5" borderId="28" xfId="0" applyFill="1" applyBorder="1" applyAlignment="1" applyProtection="1">
      <alignment horizontal="left" vertical="center" wrapText="1"/>
      <protection locked="0"/>
    </xf>
    <xf numFmtId="0" fontId="0" fillId="0" borderId="11" xfId="0" applyBorder="1" applyAlignment="1" applyProtection="1">
      <alignment horizontal="center" vertical="center"/>
    </xf>
    <xf numFmtId="0" fontId="9" fillId="0" borderId="11" xfId="0" applyFont="1" applyBorder="1" applyAlignment="1" applyProtection="1">
      <alignment horizontal="center" vertical="center"/>
    </xf>
    <xf numFmtId="2" fontId="0" fillId="0" borderId="10" xfId="0" applyNumberFormat="1" applyBorder="1" applyAlignment="1">
      <alignment horizontal="center" vertical="center"/>
    </xf>
    <xf numFmtId="0" fontId="0" fillId="5" borderId="28" xfId="0" applyFill="1" applyBorder="1" applyAlignment="1" applyProtection="1">
      <alignment horizontal="left" vertical="center" wrapText="1"/>
    </xf>
    <xf numFmtId="2" fontId="0" fillId="0" borderId="11" xfId="0" applyNumberFormat="1" applyBorder="1" applyAlignment="1">
      <alignment horizontal="center" vertical="center"/>
    </xf>
    <xf numFmtId="1" fontId="9" fillId="0" borderId="11" xfId="0" applyNumberFormat="1" applyFont="1" applyBorder="1" applyAlignment="1" applyProtection="1">
      <alignment horizontal="center" vertical="center"/>
    </xf>
    <xf numFmtId="0" fontId="9" fillId="0" borderId="5" xfId="0" applyFont="1" applyBorder="1" applyAlignment="1" applyProtection="1">
      <alignment vertical="center"/>
    </xf>
    <xf numFmtId="0" fontId="0" fillId="0" borderId="30" xfId="0" applyBorder="1" applyAlignment="1"/>
    <xf numFmtId="0" fontId="0" fillId="15" borderId="10" xfId="0" applyFill="1" applyBorder="1" applyProtection="1">
      <protection locked="0"/>
    </xf>
    <xf numFmtId="0" fontId="0" fillId="0" borderId="10" xfId="0" applyBorder="1"/>
    <xf numFmtId="0" fontId="9" fillId="0" borderId="37" xfId="0" applyFont="1" applyBorder="1" applyAlignment="1" applyProtection="1">
      <alignment vertical="center"/>
    </xf>
    <xf numFmtId="0" fontId="0" fillId="0" borderId="38" xfId="0" applyBorder="1"/>
    <xf numFmtId="0" fontId="9" fillId="0" borderId="46" xfId="0" applyFont="1" applyBorder="1" applyAlignment="1">
      <alignment horizontal="center" vertical="center" wrapText="1"/>
    </xf>
    <xf numFmtId="170" fontId="0" fillId="0" borderId="0" xfId="1" applyNumberFormat="1" applyFont="1" applyBorder="1" applyAlignment="1">
      <alignment horizontal="center" vertical="center" wrapText="1"/>
    </xf>
    <xf numFmtId="169" fontId="9" fillId="0" borderId="46" xfId="0" applyNumberFormat="1" applyFont="1" applyBorder="1" applyAlignment="1">
      <alignment horizontal="center" vertical="center" wrapText="1"/>
    </xf>
    <xf numFmtId="169" fontId="0" fillId="0" borderId="0" xfId="0" applyNumberFormat="1" applyBorder="1"/>
    <xf numFmtId="169" fontId="9" fillId="0" borderId="8" xfId="1" applyNumberFormat="1" applyFont="1" applyBorder="1" applyAlignment="1">
      <alignment horizontal="center" vertical="center" wrapText="1"/>
    </xf>
    <xf numFmtId="169" fontId="9" fillId="0" borderId="39" xfId="1" applyNumberFormat="1" applyFont="1" applyBorder="1" applyAlignment="1">
      <alignment horizontal="center" vertical="center" wrapText="1"/>
    </xf>
    <xf numFmtId="169" fontId="0" fillId="0" borderId="23" xfId="1" applyNumberFormat="1" applyFont="1" applyBorder="1" applyAlignment="1">
      <alignment horizontal="center" vertical="center" wrapText="1"/>
    </xf>
    <xf numFmtId="170" fontId="9" fillId="0" borderId="5" xfId="1" applyNumberFormat="1" applyFont="1" applyBorder="1" applyAlignment="1">
      <alignment horizontal="center" vertical="center" wrapText="1"/>
    </xf>
    <xf numFmtId="169" fontId="9" fillId="0" borderId="5" xfId="1" applyNumberFormat="1" applyFont="1" applyBorder="1" applyAlignment="1">
      <alignment horizontal="center" vertical="center" wrapText="1"/>
    </xf>
    <xf numFmtId="170" fontId="0" fillId="0" borderId="24" xfId="1" applyNumberFormat="1" applyFont="1" applyBorder="1" applyAlignment="1">
      <alignment horizontal="center" vertical="center" wrapText="1"/>
    </xf>
    <xf numFmtId="170" fontId="9" fillId="0" borderId="2" xfId="1" applyNumberFormat="1" applyFont="1" applyBorder="1" applyAlignment="1">
      <alignment horizontal="center" vertical="center" wrapText="1"/>
    </xf>
    <xf numFmtId="169" fontId="9" fillId="0" borderId="3" xfId="0" applyNumberFormat="1" applyFont="1" applyBorder="1"/>
    <xf numFmtId="169" fontId="9" fillId="0" borderId="6" xfId="0" applyNumberFormat="1" applyFont="1" applyBorder="1"/>
    <xf numFmtId="170" fontId="9" fillId="0" borderId="13" xfId="1" applyNumberFormat="1" applyFont="1" applyBorder="1" applyAlignment="1">
      <alignment horizontal="center" vertical="center" wrapText="1"/>
    </xf>
    <xf numFmtId="169" fontId="9" fillId="0" borderId="14" xfId="0" applyNumberFormat="1" applyFont="1" applyBorder="1"/>
    <xf numFmtId="169" fontId="9" fillId="0" borderId="2" xfId="1" applyNumberFormat="1" applyFont="1" applyBorder="1" applyAlignment="1">
      <alignment horizontal="center" vertical="center" wrapText="1"/>
    </xf>
    <xf numFmtId="169" fontId="9" fillId="0" borderId="13" xfId="1" applyNumberFormat="1" applyFont="1" applyBorder="1" applyAlignment="1">
      <alignment horizontal="center" vertical="center" wrapText="1"/>
    </xf>
    <xf numFmtId="169" fontId="9" fillId="0" borderId="34" xfId="0" applyNumberFormat="1" applyFont="1" applyBorder="1" applyAlignment="1">
      <alignment horizontal="center" vertical="center" wrapText="1"/>
    </xf>
    <xf numFmtId="169" fontId="9" fillId="0" borderId="38" xfId="0" applyNumberFormat="1" applyFont="1" applyBorder="1" applyAlignment="1">
      <alignment horizontal="center" vertical="center" wrapText="1"/>
    </xf>
    <xf numFmtId="164" fontId="9" fillId="0" borderId="31" xfId="1" applyFont="1" applyBorder="1"/>
    <xf numFmtId="164" fontId="9" fillId="0" borderId="5" xfId="1" applyFont="1" applyBorder="1"/>
    <xf numFmtId="169" fontId="9" fillId="0" borderId="45" xfId="1" applyNumberFormat="1" applyFont="1" applyBorder="1" applyAlignment="1">
      <alignment horizontal="center" vertical="center" wrapText="1"/>
    </xf>
    <xf numFmtId="169" fontId="0" fillId="0" borderId="0" xfId="1" applyNumberFormat="1" applyFont="1" applyBorder="1" applyAlignment="1">
      <alignment horizontal="center" vertical="center" wrapText="1"/>
    </xf>
    <xf numFmtId="169" fontId="9" fillId="0" borderId="56" xfId="0" applyNumberFormat="1" applyFont="1" applyBorder="1" applyProtection="1">
      <protection locked="0"/>
    </xf>
    <xf numFmtId="0" fontId="0" fillId="15" borderId="5" xfId="0" applyFill="1" applyBorder="1" applyAlignment="1" applyProtection="1">
      <alignment horizontal="center" vertical="center" wrapText="1"/>
      <protection locked="0"/>
    </xf>
    <xf numFmtId="169" fontId="9" fillId="0" borderId="5" xfId="0" applyNumberFormat="1" applyFont="1" applyBorder="1" applyAlignment="1">
      <alignment horizontal="center" vertical="center" wrapText="1"/>
    </xf>
    <xf numFmtId="170" fontId="9" fillId="0" borderId="11" xfId="1" applyNumberFormat="1" applyFont="1" applyBorder="1" applyAlignment="1">
      <alignment horizontal="center" vertical="center" wrapText="1"/>
    </xf>
    <xf numFmtId="169" fontId="9" fillId="0" borderId="11" xfId="1" applyNumberFormat="1" applyFont="1" applyBorder="1" applyAlignment="1">
      <alignment horizontal="center" vertical="center" wrapText="1"/>
    </xf>
    <xf numFmtId="0" fontId="4" fillId="3" borderId="35" xfId="0" applyFont="1" applyFill="1" applyBorder="1" applyAlignment="1">
      <alignment horizontal="center" vertical="center" wrapText="1"/>
    </xf>
    <xf numFmtId="0" fontId="0" fillId="0" borderId="9" xfId="0" applyBorder="1" applyAlignment="1">
      <alignment horizontal="center" vertical="center"/>
    </xf>
    <xf numFmtId="169" fontId="9" fillId="0" borderId="29" xfId="0" applyNumberFormat="1" applyFont="1" applyBorder="1"/>
    <xf numFmtId="169" fontId="9" fillId="0" borderId="13" xfId="0" applyNumberFormat="1" applyFont="1" applyBorder="1" applyAlignment="1">
      <alignment horizontal="center" vertical="center" wrapText="1"/>
    </xf>
    <xf numFmtId="0" fontId="0" fillId="0" borderId="29" xfId="0" applyBorder="1" applyAlignment="1">
      <alignment horizontal="center" vertical="center"/>
    </xf>
    <xf numFmtId="0" fontId="0" fillId="15" borderId="13" xfId="0" applyFill="1" applyBorder="1" applyAlignment="1" applyProtection="1">
      <alignment horizontal="center" vertical="center" wrapText="1"/>
      <protection locked="0"/>
    </xf>
    <xf numFmtId="0" fontId="0" fillId="0" borderId="14" xfId="0" applyBorder="1" applyAlignment="1">
      <alignment horizontal="center" vertical="center"/>
    </xf>
    <xf numFmtId="169" fontId="9" fillId="0" borderId="2" xfId="0" applyNumberFormat="1" applyFont="1" applyBorder="1" applyAlignment="1">
      <alignment horizontal="center" vertical="center" wrapText="1"/>
    </xf>
    <xf numFmtId="170" fontId="9" fillId="0" borderId="18" xfId="1" applyNumberFormat="1" applyFont="1" applyBorder="1" applyAlignment="1">
      <alignment horizontal="center" vertical="center" wrapText="1"/>
    </xf>
    <xf numFmtId="0" fontId="4" fillId="3" borderId="67" xfId="0" applyFont="1" applyFill="1" applyBorder="1" applyAlignment="1">
      <alignment horizontal="center" vertical="center" wrapText="1"/>
    </xf>
    <xf numFmtId="10" fontId="9" fillId="0" borderId="43" xfId="2" applyNumberFormat="1" applyFont="1" applyFill="1" applyBorder="1" applyProtection="1"/>
    <xf numFmtId="0" fontId="4" fillId="3" borderId="38" xfId="0" applyFont="1" applyFill="1" applyBorder="1"/>
    <xf numFmtId="2" fontId="0" fillId="0" borderId="3" xfId="0" applyNumberFormat="1" applyBorder="1" applyAlignment="1" applyProtection="1">
      <alignment horizontal="left"/>
    </xf>
    <xf numFmtId="2" fontId="0" fillId="0" borderId="6" xfId="0" applyNumberFormat="1" applyBorder="1" applyAlignment="1" applyProtection="1">
      <alignment horizontal="left"/>
    </xf>
    <xf numFmtId="2" fontId="0" fillId="0" borderId="14" xfId="0" applyNumberFormat="1" applyBorder="1" applyAlignment="1" applyProtection="1">
      <alignment horizontal="left"/>
    </xf>
    <xf numFmtId="0" fontId="0" fillId="12" borderId="5" xfId="0" quotePrefix="1" applyFill="1" applyBorder="1" applyAlignment="1" applyProtection="1">
      <alignment vertical="center"/>
      <protection locked="0"/>
    </xf>
    <xf numFmtId="0" fontId="0" fillId="15" borderId="10" xfId="0" applyFill="1" applyBorder="1" applyAlignment="1" applyProtection="1">
      <alignment horizontal="center" vertical="center" wrapText="1"/>
      <protection locked="0"/>
    </xf>
    <xf numFmtId="0" fontId="0" fillId="0" borderId="0" xfId="0" applyBorder="1" applyAlignment="1">
      <alignment horizontal="left" wrapText="1"/>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0" xfId="0" applyFont="1" applyBorder="1"/>
    <xf numFmtId="0" fontId="51" fillId="0" borderId="0" xfId="0" applyFont="1" applyBorder="1" applyAlignment="1">
      <alignment vertical="center" wrapText="1"/>
    </xf>
    <xf numFmtId="0" fontId="51" fillId="0" borderId="0" xfId="0" applyFont="1" applyBorder="1" applyAlignment="1">
      <alignment horizontal="center" vertical="center" wrapText="1"/>
    </xf>
    <xf numFmtId="0" fontId="3" fillId="0" borderId="0" xfId="0" applyFont="1" applyAlignment="1">
      <alignment vertical="center"/>
    </xf>
    <xf numFmtId="0" fontId="0" fillId="15" borderId="68" xfId="0" applyFill="1" applyBorder="1" applyProtection="1">
      <protection locked="0"/>
    </xf>
    <xf numFmtId="0" fontId="0" fillId="15" borderId="89" xfId="0" applyFill="1" applyBorder="1" applyProtection="1">
      <protection locked="0"/>
    </xf>
    <xf numFmtId="0" fontId="0" fillId="15" borderId="80" xfId="0" applyFill="1" applyBorder="1" applyProtection="1">
      <protection locked="0"/>
    </xf>
    <xf numFmtId="0" fontId="0" fillId="15" borderId="90" xfId="0" applyFill="1" applyBorder="1" applyProtection="1">
      <protection locked="0"/>
    </xf>
    <xf numFmtId="0" fontId="0" fillId="15" borderId="91" xfId="0" applyFill="1" applyBorder="1" applyProtection="1">
      <protection locked="0"/>
    </xf>
    <xf numFmtId="0" fontId="0" fillId="15" borderId="83" xfId="0" applyFill="1" applyBorder="1" applyProtection="1">
      <protection locked="0"/>
    </xf>
    <xf numFmtId="0" fontId="5" fillId="0" borderId="0" xfId="0" quotePrefix="1" applyFont="1" applyAlignment="1">
      <alignment horizontal="left" wrapText="1"/>
    </xf>
    <xf numFmtId="0" fontId="5" fillId="0" borderId="0" xfId="0" applyFont="1" applyAlignment="1">
      <alignment horizontal="left" wrapText="1"/>
    </xf>
    <xf numFmtId="0" fontId="7" fillId="22" borderId="0" xfId="0" applyFont="1" applyFill="1" applyAlignment="1">
      <alignment horizontal="left"/>
    </xf>
    <xf numFmtId="0" fontId="0" fillId="0" borderId="0" xfId="0" quotePrefix="1" applyAlignment="1">
      <alignment horizontal="left" wrapText="1"/>
    </xf>
    <xf numFmtId="0" fontId="0" fillId="0" borderId="0" xfId="0" applyAlignment="1">
      <alignment horizontal="left" wrapText="1"/>
    </xf>
    <xf numFmtId="0" fontId="7" fillId="9" borderId="0" xfId="0" applyFont="1" applyFill="1" applyAlignment="1">
      <alignment horizontal="left"/>
    </xf>
    <xf numFmtId="0" fontId="55" fillId="22" borderId="0" xfId="0" applyFont="1" applyFill="1" applyAlignment="1">
      <alignment horizontal="left"/>
    </xf>
    <xf numFmtId="0" fontId="0" fillId="0" borderId="88" xfId="0" quotePrefix="1" applyBorder="1" applyAlignment="1">
      <alignment horizontal="left" wrapText="1"/>
    </xf>
    <xf numFmtId="0" fontId="0" fillId="0" borderId="88" xfId="0" applyBorder="1" applyAlignment="1">
      <alignment horizontal="left" wrapText="1"/>
    </xf>
    <xf numFmtId="0" fontId="9" fillId="0" borderId="0" xfId="0" quotePrefix="1" applyFont="1" applyAlignment="1">
      <alignment horizontal="left" wrapText="1"/>
    </xf>
    <xf numFmtId="0" fontId="9" fillId="0" borderId="0" xfId="0" applyFont="1" applyAlignment="1">
      <alignment horizontal="left" wrapText="1"/>
    </xf>
    <xf numFmtId="0" fontId="7" fillId="0" borderId="0" xfId="0" quotePrefix="1" applyFont="1" applyAlignment="1">
      <alignment horizontal="left" wrapText="1"/>
    </xf>
    <xf numFmtId="0" fontId="7" fillId="0" borderId="0" xfId="0" applyFont="1" applyAlignment="1">
      <alignment horizontal="left" wrapText="1"/>
    </xf>
    <xf numFmtId="0" fontId="5" fillId="2" borderId="0" xfId="0" applyFont="1" applyFill="1" applyAlignment="1">
      <alignment horizontal="left"/>
    </xf>
    <xf numFmtId="0" fontId="24" fillId="0" borderId="0" xfId="0" applyFont="1" applyAlignment="1">
      <alignment horizontal="left" wrapText="1"/>
    </xf>
    <xf numFmtId="0" fontId="0" fillId="0" borderId="0" xfId="0"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43" fillId="0" borderId="33" xfId="0" applyFont="1" applyBorder="1" applyAlignment="1" applyProtection="1">
      <alignment horizontal="center" vertical="center" wrapText="1"/>
    </xf>
    <xf numFmtId="0" fontId="43" fillId="0" borderId="35" xfId="0" applyFont="1" applyBorder="1" applyAlignment="1" applyProtection="1">
      <alignment horizontal="center" vertical="center" wrapText="1"/>
    </xf>
    <xf numFmtId="0" fontId="0" fillId="0" borderId="0" xfId="0" applyAlignment="1" applyProtection="1">
      <alignment horizontal="center" wrapText="1"/>
    </xf>
    <xf numFmtId="0" fontId="58" fillId="4" borderId="0" xfId="0" applyFont="1" applyFill="1" applyBorder="1" applyAlignment="1" applyProtection="1">
      <alignment horizontal="left" vertical="center" wrapText="1"/>
    </xf>
    <xf numFmtId="0" fontId="57" fillId="4" borderId="0" xfId="0" applyFont="1" applyFill="1" applyBorder="1" applyAlignment="1" applyProtection="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pplyProtection="1">
      <alignment horizontal="left" vertical="center" wrapText="1"/>
    </xf>
    <xf numFmtId="0" fontId="0" fillId="0" borderId="12" xfId="0" applyBorder="1" applyAlignment="1">
      <alignment horizontal="left"/>
    </xf>
    <xf numFmtId="0" fontId="0" fillId="0" borderId="13"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12" borderId="41" xfId="0" applyFill="1" applyBorder="1" applyAlignment="1" applyProtection="1">
      <alignment horizontal="left"/>
      <protection locked="0"/>
    </xf>
    <xf numFmtId="0" fontId="0" fillId="12" borderId="20" xfId="0" applyFill="1" applyBorder="1" applyAlignment="1" applyProtection="1">
      <alignment horizontal="left"/>
      <protection locked="0"/>
    </xf>
    <xf numFmtId="0" fontId="0" fillId="12" borderId="79" xfId="0" applyFill="1" applyBorder="1" applyAlignment="1" applyProtection="1">
      <alignment horizontal="left"/>
      <protection locked="0"/>
    </xf>
    <xf numFmtId="0" fontId="0" fillId="12" borderId="8" xfId="0" applyFill="1" applyBorder="1" applyAlignment="1" applyProtection="1">
      <alignment horizontal="left"/>
      <protection locked="0"/>
    </xf>
    <xf numFmtId="0" fontId="3" fillId="0" borderId="24" xfId="0" applyFont="1" applyBorder="1" applyAlignment="1">
      <alignment horizontal="center" vertical="center" wrapText="1"/>
    </xf>
    <xf numFmtId="0" fontId="4" fillId="3" borderId="36" xfId="0" applyFont="1" applyFill="1" applyBorder="1" applyAlignment="1">
      <alignment horizontal="center"/>
    </xf>
    <xf numFmtId="0" fontId="4" fillId="3" borderId="37" xfId="0" applyFont="1" applyFill="1" applyBorder="1" applyAlignment="1">
      <alignment horizontal="center"/>
    </xf>
    <xf numFmtId="0" fontId="0" fillId="18" borderId="33" xfId="0" applyFill="1" applyBorder="1" applyAlignment="1">
      <alignment horizontal="center" wrapText="1"/>
    </xf>
    <xf numFmtId="0" fontId="0" fillId="18" borderId="35" xfId="0" applyFill="1" applyBorder="1" applyAlignment="1">
      <alignment horizontal="center" wrapText="1"/>
    </xf>
    <xf numFmtId="0" fontId="0" fillId="18" borderId="33" xfId="0" applyFill="1" applyBorder="1" applyAlignment="1">
      <alignment horizontal="center" vertical="center" wrapText="1"/>
    </xf>
    <xf numFmtId="0" fontId="0" fillId="18" borderId="35" xfId="0" applyFill="1" applyBorder="1" applyAlignment="1">
      <alignment horizontal="center" vertical="center" wrapText="1"/>
    </xf>
    <xf numFmtId="0" fontId="34" fillId="0" borderId="5" xfId="0" applyFont="1" applyBorder="1" applyAlignment="1" applyProtection="1">
      <alignment horizontal="left"/>
    </xf>
    <xf numFmtId="0" fontId="0" fillId="0" borderId="5" xfId="0" applyBorder="1" applyAlignment="1" applyProtection="1">
      <alignment horizontal="left"/>
    </xf>
    <xf numFmtId="0" fontId="4" fillId="3" borderId="4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18" borderId="40" xfId="0" applyFont="1" applyFill="1" applyBorder="1" applyAlignment="1">
      <alignment horizontal="center" vertical="center" wrapText="1"/>
    </xf>
    <xf numFmtId="0" fontId="4" fillId="18" borderId="51" xfId="0" applyFont="1" applyFill="1" applyBorder="1" applyAlignment="1">
      <alignment horizontal="center" vertical="center" wrapText="1"/>
    </xf>
    <xf numFmtId="0" fontId="4" fillId="18" borderId="21" xfId="0" applyFont="1" applyFill="1" applyBorder="1" applyAlignment="1">
      <alignment horizontal="center" vertical="center" wrapText="1"/>
    </xf>
    <xf numFmtId="0" fontId="0" fillId="18" borderId="33" xfId="0" applyFill="1" applyBorder="1" applyAlignment="1">
      <alignment horizontal="center"/>
    </xf>
    <xf numFmtId="0" fontId="0" fillId="18" borderId="35" xfId="0" applyFill="1" applyBorder="1" applyAlignment="1">
      <alignment horizontal="center"/>
    </xf>
    <xf numFmtId="0" fontId="0" fillId="0" borderId="58" xfId="0" quotePrefix="1" applyBorder="1" applyAlignment="1">
      <alignment horizontal="left" wrapText="1"/>
    </xf>
    <xf numFmtId="0" fontId="0" fillId="0" borderId="48" xfId="0" applyBorder="1" applyAlignment="1">
      <alignment horizontal="left" wrapText="1"/>
    </xf>
    <xf numFmtId="0" fontId="0" fillId="0" borderId="49" xfId="0" applyBorder="1" applyAlignment="1">
      <alignment horizontal="left" wrapText="1"/>
    </xf>
    <xf numFmtId="0" fontId="0" fillId="0" borderId="24" xfId="0" applyBorder="1" applyAlignment="1">
      <alignment horizontal="left" wrapText="1"/>
    </xf>
    <xf numFmtId="0" fontId="0" fillId="0" borderId="0" xfId="0" applyBorder="1" applyAlignment="1">
      <alignment horizontal="left" wrapText="1"/>
    </xf>
    <xf numFmtId="0" fontId="0" fillId="0" borderId="25"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0" fillId="0" borderId="26" xfId="0" applyBorder="1" applyAlignment="1">
      <alignment horizontal="left" wrapText="1"/>
    </xf>
    <xf numFmtId="0" fontId="0" fillId="16" borderId="33" xfId="0" applyFill="1" applyBorder="1" applyAlignment="1">
      <alignment horizontal="center"/>
    </xf>
    <xf numFmtId="0" fontId="0" fillId="16" borderId="34" xfId="0" applyFill="1" applyBorder="1" applyAlignment="1">
      <alignment horizontal="center"/>
    </xf>
    <xf numFmtId="0" fontId="0" fillId="16" borderId="35" xfId="0" applyFill="1" applyBorder="1" applyAlignment="1">
      <alignment horizontal="center"/>
    </xf>
    <xf numFmtId="0" fontId="4" fillId="16" borderId="42" xfId="0" applyFont="1" applyFill="1" applyBorder="1" applyAlignment="1">
      <alignment horizontal="center" wrapText="1"/>
    </xf>
    <xf numFmtId="0" fontId="4" fillId="16" borderId="8" xfId="0" applyFont="1" applyFill="1" applyBorder="1" applyAlignment="1">
      <alignment horizontal="center" wrapText="1"/>
    </xf>
    <xf numFmtId="0" fontId="0" fillId="3" borderId="33" xfId="0" applyFill="1" applyBorder="1" applyAlignment="1">
      <alignment horizontal="center"/>
    </xf>
    <xf numFmtId="0" fontId="0" fillId="3" borderId="34" xfId="0" applyFill="1" applyBorder="1" applyAlignment="1">
      <alignment horizontal="center"/>
    </xf>
    <xf numFmtId="0" fontId="0" fillId="3" borderId="35" xfId="0" applyFill="1" applyBorder="1" applyAlignment="1">
      <alignment horizontal="center"/>
    </xf>
    <xf numFmtId="0" fontId="0" fillId="3" borderId="22" xfId="0" applyFill="1" applyBorder="1" applyAlignment="1">
      <alignment horizontal="center"/>
    </xf>
    <xf numFmtId="0" fontId="0" fillId="3" borderId="23" xfId="0" applyFill="1" applyBorder="1" applyAlignment="1">
      <alignment horizontal="center"/>
    </xf>
    <xf numFmtId="0" fontId="0" fillId="16" borderId="23" xfId="0" applyFill="1" applyBorder="1" applyAlignment="1">
      <alignment horizontal="center"/>
    </xf>
    <xf numFmtId="0" fontId="4" fillId="3" borderId="33"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0" fillId="20" borderId="33" xfId="0" applyFill="1" applyBorder="1" applyAlignment="1" applyProtection="1">
      <alignment horizontal="left" vertical="center" wrapText="1"/>
    </xf>
    <xf numFmtId="0" fontId="0" fillId="20" borderId="34" xfId="0" applyFill="1" applyBorder="1" applyAlignment="1" applyProtection="1">
      <alignment horizontal="left" vertical="center" wrapText="1"/>
    </xf>
    <xf numFmtId="0" fontId="0" fillId="20" borderId="35" xfId="0" applyFill="1" applyBorder="1" applyAlignment="1" applyProtection="1">
      <alignment horizontal="left" vertical="center" wrapText="1"/>
    </xf>
    <xf numFmtId="0" fontId="34" fillId="0" borderId="0" xfId="0" applyFont="1" applyAlignment="1" applyProtection="1">
      <alignment horizontal="left"/>
    </xf>
    <xf numFmtId="0" fontId="0" fillId="0" borderId="24"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49" fillId="0" borderId="53" xfId="0" applyFont="1" applyBorder="1" applyAlignment="1">
      <alignment horizontal="center" wrapText="1"/>
    </xf>
    <xf numFmtId="0" fontId="49" fillId="0" borderId="54" xfId="0" applyFont="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0" fillId="0" borderId="5" xfId="0" applyBorder="1" applyAlignment="1" applyProtection="1">
      <alignment horizontal="left" wrapText="1"/>
    </xf>
    <xf numFmtId="0" fontId="4" fillId="5" borderId="27" xfId="0" applyFont="1" applyFill="1" applyBorder="1" applyAlignment="1">
      <alignment horizontal="center" wrapText="1"/>
    </xf>
    <xf numFmtId="0" fontId="4" fillId="5" borderId="39" xfId="0" applyFont="1" applyFill="1" applyBorder="1" applyAlignment="1">
      <alignment horizontal="center" wrapText="1"/>
    </xf>
    <xf numFmtId="0" fontId="0" fillId="0" borderId="27" xfId="0" applyBorder="1" applyAlignment="1">
      <alignment horizontal="center" vertical="center" wrapText="1"/>
    </xf>
    <xf numFmtId="0" fontId="0" fillId="0" borderId="56" xfId="0" applyBorder="1" applyAlignment="1">
      <alignment horizontal="center" vertical="center" wrapText="1"/>
    </xf>
    <xf numFmtId="0" fontId="0" fillId="0" borderId="42" xfId="0" applyBorder="1" applyAlignment="1">
      <alignment horizontal="center" vertical="center" wrapText="1"/>
    </xf>
    <xf numFmtId="0" fontId="0" fillId="0" borderId="64" xfId="0" applyBorder="1" applyAlignment="1">
      <alignment horizontal="center" vertical="center" wrapText="1"/>
    </xf>
    <xf numFmtId="0" fontId="0" fillId="0" borderId="40" xfId="0" applyBorder="1" applyAlignment="1">
      <alignment horizontal="center" vertical="center" wrapText="1"/>
    </xf>
    <xf numFmtId="0" fontId="0" fillId="0" borderId="21" xfId="0" applyBorder="1" applyAlignment="1">
      <alignment horizontal="center" vertical="center" wrapText="1"/>
    </xf>
    <xf numFmtId="0" fontId="4" fillId="0" borderId="23" xfId="0" applyFont="1" applyBorder="1" applyAlignment="1">
      <alignment horizontal="left"/>
    </xf>
    <xf numFmtId="0" fontId="4" fillId="3" borderId="40" xfId="0" applyFont="1" applyFill="1" applyBorder="1" applyAlignment="1">
      <alignment horizontal="left" vertical="center"/>
    </xf>
    <xf numFmtId="0" fontId="4" fillId="3" borderId="20" xfId="0" applyFont="1" applyFill="1" applyBorder="1" applyAlignment="1">
      <alignment horizontal="left" vertical="center"/>
    </xf>
    <xf numFmtId="0" fontId="4" fillId="8" borderId="33"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7" fillId="11" borderId="58" xfId="0" applyFont="1" applyFill="1" applyBorder="1" applyAlignment="1">
      <alignment horizontal="center" vertical="center" wrapText="1"/>
    </xf>
    <xf numFmtId="0" fontId="17" fillId="11" borderId="48" xfId="0" applyFont="1" applyFill="1" applyBorder="1" applyAlignment="1">
      <alignment horizontal="center" vertical="center" wrapText="1"/>
    </xf>
    <xf numFmtId="0" fontId="17" fillId="11" borderId="49" xfId="0" applyFont="1" applyFill="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3" xfId="0" applyFont="1" applyBorder="1" applyAlignment="1">
      <alignment vertical="center" wrapText="1"/>
    </xf>
    <xf numFmtId="0" fontId="18" fillId="0" borderId="34" xfId="0" applyFont="1" applyBorder="1" applyAlignment="1">
      <alignment vertical="center" wrapText="1"/>
    </xf>
    <xf numFmtId="0" fontId="18" fillId="0" borderId="35" xfId="0" applyFont="1" applyBorder="1" applyAlignment="1">
      <alignment vertical="center" wrapText="1"/>
    </xf>
    <xf numFmtId="0" fontId="4" fillId="5" borderId="22"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40" xfId="0" applyFont="1" applyFill="1" applyBorder="1" applyAlignment="1">
      <alignment horizontal="left"/>
    </xf>
    <xf numFmtId="0" fontId="4" fillId="5" borderId="20" xfId="0" applyFont="1" applyFill="1" applyBorder="1" applyAlignment="1">
      <alignment horizontal="left"/>
    </xf>
    <xf numFmtId="0" fontId="18" fillId="0" borderId="33" xfId="0" applyFont="1" applyBorder="1" applyAlignment="1">
      <alignment horizontal="justify" vertical="center" wrapText="1"/>
    </xf>
    <xf numFmtId="0" fontId="18" fillId="0" borderId="34" xfId="0" applyFont="1" applyBorder="1" applyAlignment="1">
      <alignment horizontal="justify" vertical="center" wrapText="1"/>
    </xf>
    <xf numFmtId="0" fontId="18" fillId="0" borderId="35" xfId="0" applyFont="1" applyBorder="1" applyAlignment="1">
      <alignment horizontal="justify" vertical="center" wrapText="1"/>
    </xf>
    <xf numFmtId="0" fontId="20" fillId="0" borderId="58" xfId="0" applyFont="1" applyBorder="1" applyAlignment="1">
      <alignment horizontal="left" vertical="center" wrapText="1" indent="1"/>
    </xf>
    <xf numFmtId="0" fontId="20" fillId="0" borderId="48" xfId="0" applyFont="1" applyBorder="1" applyAlignment="1">
      <alignment horizontal="left" vertical="center" wrapText="1" indent="1"/>
    </xf>
    <xf numFmtId="0" fontId="20" fillId="0" borderId="49"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23" xfId="0" applyFont="1" applyBorder="1" applyAlignment="1">
      <alignment horizontal="left" vertical="center" wrapText="1" indent="1"/>
    </xf>
    <xf numFmtId="0" fontId="20" fillId="0" borderId="26" xfId="0" applyFont="1" applyBorder="1" applyAlignment="1">
      <alignment horizontal="left" vertical="center" wrapText="1" indent="1"/>
    </xf>
    <xf numFmtId="0" fontId="18" fillId="0" borderId="57"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57" xfId="0" applyFont="1" applyBorder="1" applyAlignment="1">
      <alignment vertical="center" wrapText="1"/>
    </xf>
    <xf numFmtId="0" fontId="18" fillId="0" borderId="66" xfId="0" applyFont="1" applyBorder="1" applyAlignment="1">
      <alignment vertical="center" wrapText="1"/>
    </xf>
    <xf numFmtId="0" fontId="18" fillId="0" borderId="65" xfId="0" applyFont="1" applyBorder="1" applyAlignment="1">
      <alignment vertical="center" wrapText="1"/>
    </xf>
    <xf numFmtId="0" fontId="0" fillId="0" borderId="24" xfId="0" applyBorder="1" applyAlignment="1">
      <alignment vertical="top" wrapText="1"/>
    </xf>
    <xf numFmtId="0" fontId="0" fillId="0" borderId="0" xfId="0" applyBorder="1" applyAlignment="1">
      <alignment vertical="top" wrapText="1"/>
    </xf>
    <xf numFmtId="0" fontId="0" fillId="0" borderId="25" xfId="0" applyBorder="1" applyAlignment="1">
      <alignment vertical="top" wrapText="1"/>
    </xf>
    <xf numFmtId="0" fontId="20" fillId="0" borderId="24" xfId="0" applyFont="1" applyBorder="1" applyAlignment="1">
      <alignment horizontal="left" vertical="center" wrapText="1" indent="1"/>
    </xf>
    <xf numFmtId="0" fontId="20" fillId="0" borderId="0" xfId="0" applyFont="1" applyBorder="1" applyAlignment="1">
      <alignment horizontal="left" vertical="center" wrapText="1" indent="1"/>
    </xf>
    <xf numFmtId="0" fontId="20" fillId="0" borderId="25" xfId="0" applyFont="1" applyBorder="1" applyAlignment="1">
      <alignment horizontal="left" vertical="center" wrapText="1" indent="1"/>
    </xf>
    <xf numFmtId="0" fontId="9" fillId="0" borderId="58" xfId="0" applyFont="1" applyBorder="1" applyAlignment="1">
      <alignment horizontal="center"/>
    </xf>
    <xf numFmtId="0" fontId="9" fillId="0" borderId="48" xfId="0" applyFont="1" applyBorder="1" applyAlignment="1">
      <alignment horizontal="center"/>
    </xf>
    <xf numFmtId="0" fontId="9" fillId="0" borderId="49" xfId="0" applyFont="1" applyBorder="1" applyAlignment="1">
      <alignment horizontal="center"/>
    </xf>
    <xf numFmtId="0" fontId="32" fillId="5" borderId="42" xfId="0" applyFont="1" applyFill="1" applyBorder="1" applyAlignment="1">
      <alignment horizontal="left"/>
    </xf>
    <xf numFmtId="0" fontId="32" fillId="5" borderId="8" xfId="0" applyFont="1" applyFill="1" applyBorder="1" applyAlignment="1">
      <alignment horizontal="left"/>
    </xf>
    <xf numFmtId="0" fontId="32" fillId="5" borderId="4" xfId="0" applyFont="1" applyFill="1" applyBorder="1" applyAlignment="1">
      <alignment horizontal="left"/>
    </xf>
    <xf numFmtId="0" fontId="32" fillId="5" borderId="5" xfId="0" applyFont="1" applyFill="1" applyBorder="1" applyAlignment="1">
      <alignment horizontal="left"/>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5" borderId="30" xfId="0" applyFont="1" applyFill="1" applyBorder="1" applyAlignment="1">
      <alignment horizontal="left"/>
    </xf>
    <xf numFmtId="0" fontId="4" fillId="5" borderId="10" xfId="0" applyFont="1" applyFill="1" applyBorder="1" applyAlignment="1">
      <alignment horizontal="left"/>
    </xf>
    <xf numFmtId="0" fontId="31" fillId="0" borderId="58" xfId="0" applyFont="1" applyBorder="1" applyAlignment="1">
      <alignment horizontal="left" vertical="center" wrapText="1"/>
    </xf>
    <xf numFmtId="0" fontId="31" fillId="0" borderId="48" xfId="0" applyFont="1" applyBorder="1" applyAlignment="1">
      <alignment horizontal="left" vertical="center" wrapText="1"/>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58" xfId="0" applyFont="1" applyFill="1" applyBorder="1" applyAlignment="1">
      <alignment horizontal="left" wrapText="1"/>
    </xf>
    <xf numFmtId="0" fontId="4" fillId="5" borderId="49" xfId="0" applyFont="1" applyFill="1" applyBorder="1" applyAlignment="1">
      <alignment horizontal="left" wrapText="1"/>
    </xf>
    <xf numFmtId="0" fontId="6" fillId="9" borderId="1" xfId="3" applyFont="1" applyFill="1" applyBorder="1" applyAlignment="1">
      <alignment horizontal="center" vertical="center"/>
    </xf>
    <xf numFmtId="0" fontId="7" fillId="9" borderId="12" xfId="3"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5" borderId="42" xfId="4" applyFont="1" applyFill="1" applyBorder="1" applyAlignment="1" applyProtection="1">
      <alignment horizontal="left" vertical="center" wrapText="1"/>
      <protection locked="0"/>
    </xf>
    <xf numFmtId="0" fontId="6" fillId="5" borderId="8" xfId="4" applyFont="1" applyFill="1" applyBorder="1" applyAlignment="1" applyProtection="1">
      <alignment horizontal="left" vertical="center" wrapText="1"/>
      <protection locked="0"/>
    </xf>
    <xf numFmtId="0" fontId="16" fillId="7" borderId="27" xfId="4" applyFont="1" applyFill="1" applyBorder="1" applyAlignment="1" applyProtection="1">
      <alignment horizontal="center" vertical="center"/>
      <protection locked="0"/>
    </xf>
    <xf numFmtId="0" fontId="16" fillId="7" borderId="70" xfId="4" applyFont="1" applyFill="1" applyBorder="1" applyAlignment="1" applyProtection="1">
      <alignment horizontal="center" vertical="center"/>
      <protection locked="0"/>
    </xf>
    <xf numFmtId="0" fontId="6" fillId="5" borderId="40" xfId="4" applyFont="1" applyFill="1" applyBorder="1" applyAlignment="1" applyProtection="1">
      <alignment vertical="center"/>
      <protection locked="0"/>
    </xf>
    <xf numFmtId="0" fontId="6" fillId="5" borderId="20" xfId="4" applyFont="1" applyFill="1" applyBorder="1" applyAlignment="1" applyProtection="1">
      <alignment vertical="center"/>
      <protection locked="0"/>
    </xf>
    <xf numFmtId="0" fontId="6" fillId="5" borderId="42" xfId="4" applyFont="1" applyFill="1" applyBorder="1" applyAlignment="1" applyProtection="1">
      <alignment vertical="center"/>
      <protection locked="0"/>
    </xf>
    <xf numFmtId="0" fontId="6" fillId="5" borderId="8" xfId="4" applyFont="1" applyFill="1" applyBorder="1" applyAlignment="1" applyProtection="1">
      <alignment vertical="center"/>
      <protection locked="0"/>
    </xf>
    <xf numFmtId="0" fontId="16" fillId="7" borderId="40" xfId="4" applyFont="1" applyFill="1" applyBorder="1" applyAlignment="1" applyProtection="1">
      <alignment horizontal="center" vertical="center" wrapText="1"/>
    </xf>
    <xf numFmtId="0" fontId="16" fillId="7" borderId="20" xfId="4" applyFont="1" applyFill="1" applyBorder="1" applyAlignment="1" applyProtection="1">
      <alignment horizontal="center" vertical="center" wrapText="1"/>
    </xf>
    <xf numFmtId="0" fontId="6" fillId="5" borderId="42" xfId="4" applyFont="1" applyFill="1" applyBorder="1" applyAlignment="1" applyProtection="1">
      <alignment horizontal="left" vertical="center"/>
      <protection locked="0"/>
    </xf>
    <xf numFmtId="0" fontId="6" fillId="5" borderId="8" xfId="4" applyFont="1" applyFill="1" applyBorder="1" applyAlignment="1" applyProtection="1">
      <alignment horizontal="left" vertical="center"/>
      <protection locked="0"/>
    </xf>
    <xf numFmtId="0" fontId="6" fillId="5" borderId="27" xfId="4" applyFont="1" applyFill="1" applyBorder="1" applyAlignment="1" applyProtection="1">
      <alignment horizontal="left" vertical="center"/>
      <protection locked="0"/>
    </xf>
    <xf numFmtId="0" fontId="6" fillId="5" borderId="39" xfId="4" applyFont="1" applyFill="1" applyBorder="1" applyAlignment="1" applyProtection="1">
      <alignment horizontal="left" vertical="center"/>
      <protection locked="0"/>
    </xf>
    <xf numFmtId="0" fontId="16" fillId="2" borderId="40" xfId="4" applyFont="1" applyFill="1" applyBorder="1" applyAlignment="1" applyProtection="1">
      <alignment horizontal="center" vertical="center" wrapText="1"/>
      <protection locked="0"/>
    </xf>
    <xf numFmtId="0" fontId="16" fillId="2" borderId="41" xfId="4" applyFont="1" applyFill="1" applyBorder="1" applyAlignment="1" applyProtection="1">
      <alignment horizontal="center" vertical="center" wrapText="1"/>
      <protection locked="0"/>
    </xf>
    <xf numFmtId="0" fontId="4" fillId="5" borderId="42" xfId="0" applyFont="1" applyFill="1" applyBorder="1" applyAlignment="1">
      <alignment horizontal="left"/>
    </xf>
    <xf numFmtId="0" fontId="4" fillId="5" borderId="8" xfId="0" applyFont="1" applyFill="1" applyBorder="1" applyAlignment="1">
      <alignment horizontal="left"/>
    </xf>
    <xf numFmtId="0" fontId="0" fillId="0" borderId="24" xfId="0" applyBorder="1" applyAlignment="1">
      <alignment horizontal="left" vertical="center" wrapText="1"/>
    </xf>
    <xf numFmtId="0" fontId="0" fillId="0" borderId="0" xfId="0" applyBorder="1" applyAlignment="1">
      <alignment horizontal="left" vertical="center" wrapText="1"/>
    </xf>
    <xf numFmtId="0" fontId="4" fillId="5" borderId="42" xfId="0" applyFont="1" applyFill="1" applyBorder="1" applyAlignment="1">
      <alignment horizontal="left" vertical="center"/>
    </xf>
    <xf numFmtId="0" fontId="4" fillId="5" borderId="8" xfId="0" applyFont="1" applyFill="1" applyBorder="1" applyAlignment="1">
      <alignment horizontal="left" vertical="center"/>
    </xf>
    <xf numFmtId="0" fontId="0" fillId="0" borderId="9" xfId="0" applyBorder="1" applyAlignment="1">
      <alignment horizontal="center"/>
    </xf>
    <xf numFmtId="0" fontId="0" fillId="0" borderId="64" xfId="0" applyBorder="1" applyAlignment="1">
      <alignment horizontal="center"/>
    </xf>
    <xf numFmtId="0" fontId="4" fillId="5" borderId="33" xfId="4" applyFont="1" applyFill="1" applyBorder="1" applyAlignment="1" applyProtection="1">
      <alignment horizontal="center" vertical="center"/>
    </xf>
    <xf numFmtId="0" fontId="4" fillId="5" borderId="46" xfId="4" applyFont="1" applyFill="1" applyBorder="1" applyAlignment="1" applyProtection="1">
      <alignment horizontal="center" vertical="center"/>
    </xf>
    <xf numFmtId="3" fontId="7" fillId="12" borderId="67" xfId="4" applyNumberFormat="1" applyFont="1" applyFill="1" applyBorder="1" applyAlignment="1" applyProtection="1">
      <alignment horizontal="center" vertical="center"/>
      <protection locked="0"/>
    </xf>
    <xf numFmtId="3" fontId="7" fillId="12" borderId="23" xfId="4" applyNumberFormat="1" applyFont="1" applyFill="1" applyBorder="1" applyAlignment="1" applyProtection="1">
      <alignment horizontal="center" vertical="center"/>
      <protection locked="0"/>
    </xf>
    <xf numFmtId="0" fontId="6" fillId="9" borderId="58" xfId="4" applyFont="1" applyFill="1" applyBorder="1" applyAlignment="1" applyProtection="1">
      <alignment horizontal="center" vertical="center" wrapText="1"/>
    </xf>
    <xf numFmtId="0" fontId="6" fillId="9" borderId="59" xfId="4" applyFont="1" applyFill="1" applyBorder="1" applyAlignment="1" applyProtection="1">
      <alignment horizontal="center" vertical="center" wrapText="1"/>
    </xf>
    <xf numFmtId="0" fontId="6" fillId="9" borderId="22" xfId="4" applyFont="1" applyFill="1" applyBorder="1" applyAlignment="1" applyProtection="1">
      <alignment horizontal="center" vertical="center" wrapText="1"/>
    </xf>
    <xf numFmtId="0" fontId="6" fillId="9" borderId="60" xfId="4" applyFont="1" applyFill="1" applyBorder="1" applyAlignment="1" applyProtection="1">
      <alignment horizontal="center" vertical="center" wrapText="1"/>
    </xf>
    <xf numFmtId="0" fontId="6" fillId="9" borderId="17" xfId="4" applyFont="1" applyFill="1" applyBorder="1" applyAlignment="1" applyProtection="1">
      <alignment horizontal="center" vertical="center" wrapText="1"/>
    </xf>
    <xf numFmtId="0" fontId="6" fillId="9" borderId="18" xfId="4" applyFont="1" applyFill="1" applyBorder="1" applyAlignment="1" applyProtection="1">
      <alignment horizontal="center" vertical="center" wrapText="1"/>
    </xf>
    <xf numFmtId="0" fontId="6" fillId="9" borderId="19" xfId="4" applyFont="1" applyFill="1" applyBorder="1" applyAlignment="1" applyProtection="1">
      <alignment horizontal="center" vertical="center" wrapText="1"/>
    </xf>
    <xf numFmtId="0" fontId="6" fillId="9" borderId="21" xfId="4" applyFont="1" applyFill="1" applyBorder="1" applyAlignment="1" applyProtection="1">
      <alignment horizontal="center" vertical="center" wrapText="1"/>
    </xf>
    <xf numFmtId="4" fontId="6" fillId="9" borderId="7" xfId="4" applyNumberFormat="1" applyFont="1" applyFill="1" applyBorder="1" applyAlignment="1" applyProtection="1">
      <alignment horizontal="center" vertical="center" wrapText="1"/>
    </xf>
    <xf numFmtId="4" fontId="6" fillId="9" borderId="32" xfId="4" applyNumberFormat="1" applyFont="1" applyFill="1" applyBorder="1" applyAlignment="1" applyProtection="1">
      <alignment horizontal="center" vertical="center" wrapText="1"/>
    </xf>
    <xf numFmtId="0" fontId="16" fillId="2" borderId="42" xfId="0" applyFont="1" applyFill="1" applyBorder="1" applyAlignment="1">
      <alignment horizontal="center" vertical="center"/>
    </xf>
    <xf numFmtId="0" fontId="16" fillId="2" borderId="79" xfId="0" applyFont="1" applyFill="1" applyBorder="1" applyAlignment="1">
      <alignment horizontal="center" vertical="center"/>
    </xf>
    <xf numFmtId="0" fontId="4" fillId="5" borderId="27" xfId="0" applyFont="1" applyFill="1" applyBorder="1" applyAlignment="1">
      <alignment horizontal="left" vertical="center"/>
    </xf>
    <xf numFmtId="0" fontId="4" fillId="5" borderId="39" xfId="0" applyFont="1" applyFill="1" applyBorder="1" applyAlignment="1">
      <alignment horizontal="left" vertical="center"/>
    </xf>
    <xf numFmtId="0" fontId="6" fillId="9" borderId="15" xfId="4" applyFont="1" applyFill="1" applyBorder="1" applyAlignment="1" applyProtection="1">
      <alignment horizontal="center" vertical="center" wrapText="1"/>
    </xf>
    <xf numFmtId="0" fontId="6" fillId="9" borderId="16" xfId="4" applyFont="1" applyFill="1" applyBorder="1" applyAlignment="1" applyProtection="1">
      <alignment horizontal="center" vertical="center" wrapText="1"/>
    </xf>
    <xf numFmtId="0" fontId="6" fillId="5" borderId="33" xfId="0" applyFont="1" applyFill="1" applyBorder="1" applyAlignment="1">
      <alignment horizontal="left" wrapText="1"/>
    </xf>
    <xf numFmtId="0" fontId="6" fillId="5" borderId="35" xfId="0" applyFont="1" applyFill="1" applyBorder="1" applyAlignment="1">
      <alignment horizontal="left" wrapText="1"/>
    </xf>
    <xf numFmtId="0" fontId="0" fillId="0" borderId="58" xfId="0" applyBorder="1" applyAlignment="1">
      <alignment horizontal="left" vertical="center" wrapText="1"/>
    </xf>
    <xf numFmtId="0" fontId="0" fillId="0" borderId="49" xfId="0" applyBorder="1" applyAlignment="1">
      <alignment horizontal="left" vertical="center" wrapText="1"/>
    </xf>
    <xf numFmtId="0" fontId="0" fillId="0" borderId="25" xfId="0" applyBorder="1" applyAlignment="1">
      <alignment horizontal="left" vertical="center" wrapText="1"/>
    </xf>
    <xf numFmtId="0" fontId="0" fillId="0" borderId="22" xfId="0" applyBorder="1" applyAlignment="1">
      <alignment horizontal="left" vertical="center" wrapText="1"/>
    </xf>
    <xf numFmtId="0" fontId="0" fillId="0" borderId="26" xfId="0" applyBorder="1" applyAlignment="1">
      <alignment horizontal="left" vertical="center" wrapText="1"/>
    </xf>
    <xf numFmtId="0" fontId="4" fillId="0" borderId="1" xfId="0" applyFont="1" applyBorder="1" applyAlignment="1">
      <alignment horizontal="center" wrapText="1"/>
    </xf>
    <xf numFmtId="0" fontId="4" fillId="0" borderId="3" xfId="0" applyFont="1" applyBorder="1" applyAlignment="1">
      <alignment horizontal="center" wrapText="1"/>
    </xf>
    <xf numFmtId="2" fontId="0" fillId="0" borderId="12" xfId="0" applyNumberFormat="1" applyBorder="1" applyAlignment="1">
      <alignment horizontal="center"/>
    </xf>
    <xf numFmtId="2" fontId="0" fillId="0" borderId="14" xfId="0" applyNumberFormat="1" applyBorder="1" applyAlignment="1">
      <alignment horizontal="center"/>
    </xf>
    <xf numFmtId="0" fontId="4" fillId="5" borderId="12" xfId="0" applyFont="1" applyFill="1" applyBorder="1" applyAlignment="1">
      <alignment horizontal="left"/>
    </xf>
    <xf numFmtId="0" fontId="4" fillId="5" borderId="13" xfId="0" applyFont="1" applyFill="1" applyBorder="1" applyAlignment="1">
      <alignment horizontal="left"/>
    </xf>
    <xf numFmtId="0" fontId="31" fillId="0" borderId="24" xfId="0" applyFont="1" applyBorder="1" applyAlignment="1">
      <alignment horizontal="left" vertical="center" wrapText="1"/>
    </xf>
    <xf numFmtId="0" fontId="31" fillId="0" borderId="0" xfId="0" applyFont="1" applyBorder="1" applyAlignment="1">
      <alignment horizontal="left" vertical="center" wrapText="1"/>
    </xf>
    <xf numFmtId="0" fontId="4" fillId="5" borderId="4" xfId="0" applyFont="1" applyFill="1" applyBorder="1" applyAlignment="1">
      <alignment horizontal="left"/>
    </xf>
    <xf numFmtId="0" fontId="4" fillId="5" borderId="5" xfId="0" applyFont="1" applyFill="1" applyBorder="1" applyAlignment="1">
      <alignment horizontal="left"/>
    </xf>
    <xf numFmtId="0" fontId="0" fillId="17" borderId="33" xfId="0" applyFont="1" applyFill="1" applyBorder="1" applyAlignment="1">
      <alignment horizontal="center" wrapText="1"/>
    </xf>
    <xf numFmtId="0" fontId="0" fillId="17" borderId="35" xfId="0" applyFont="1" applyFill="1" applyBorder="1" applyAlignment="1">
      <alignment horizontal="center" wrapText="1"/>
    </xf>
    <xf numFmtId="0" fontId="4" fillId="3" borderId="27" xfId="0" applyFont="1" applyFill="1" applyBorder="1" applyAlignment="1">
      <alignment horizontal="left" wrapText="1"/>
    </xf>
    <xf numFmtId="0" fontId="4" fillId="3" borderId="70" xfId="0" applyFont="1" applyFill="1" applyBorder="1" applyAlignment="1">
      <alignment horizontal="left" wrapText="1"/>
    </xf>
    <xf numFmtId="0" fontId="4" fillId="3" borderId="39" xfId="0" applyFont="1" applyFill="1" applyBorder="1" applyAlignment="1">
      <alignment horizontal="left" wrapText="1"/>
    </xf>
    <xf numFmtId="0" fontId="0" fillId="17" borderId="33" xfId="0" applyFill="1" applyBorder="1" applyAlignment="1">
      <alignment horizontal="center"/>
    </xf>
    <xf numFmtId="0" fontId="0" fillId="17" borderId="34" xfId="0" applyFill="1" applyBorder="1" applyAlignment="1">
      <alignment horizontal="center"/>
    </xf>
    <xf numFmtId="0" fontId="0" fillId="17" borderId="35" xfId="0" applyFill="1" applyBorder="1" applyAlignment="1">
      <alignment horizontal="center"/>
    </xf>
    <xf numFmtId="0" fontId="4" fillId="3" borderId="40" xfId="0" applyFont="1" applyFill="1" applyBorder="1" applyAlignment="1">
      <alignment horizontal="left" wrapText="1"/>
    </xf>
    <xf numFmtId="0" fontId="4" fillId="3" borderId="41" xfId="0" applyFont="1" applyFill="1" applyBorder="1" applyAlignment="1">
      <alignment horizontal="left" wrapText="1"/>
    </xf>
    <xf numFmtId="0" fontId="4" fillId="3" borderId="20" xfId="0" applyFont="1" applyFill="1" applyBorder="1" applyAlignment="1">
      <alignment horizontal="left" wrapText="1"/>
    </xf>
    <xf numFmtId="0" fontId="4" fillId="3" borderId="12" xfId="0" applyFont="1" applyFill="1" applyBorder="1" applyAlignment="1">
      <alignment horizontal="right" wrapText="1"/>
    </xf>
    <xf numFmtId="0" fontId="4" fillId="3" borderId="13" xfId="0" applyFont="1" applyFill="1" applyBorder="1" applyAlignment="1">
      <alignment horizontal="right" wrapText="1"/>
    </xf>
    <xf numFmtId="0" fontId="0" fillId="0" borderId="31" xfId="0" applyBorder="1" applyAlignment="1" applyProtection="1">
      <alignment horizontal="center" wrapText="1"/>
      <protection locked="0"/>
    </xf>
    <xf numFmtId="0" fontId="0" fillId="0" borderId="62" xfId="0" applyBorder="1" applyAlignment="1" applyProtection="1">
      <alignment horizontal="center" wrapText="1"/>
      <protection locked="0"/>
    </xf>
    <xf numFmtId="0" fontId="0" fillId="0" borderId="32" xfId="0" applyBorder="1" applyAlignment="1" applyProtection="1">
      <alignment horizontal="center" wrapText="1"/>
      <protection locked="0"/>
    </xf>
    <xf numFmtId="164" fontId="0" fillId="12" borderId="2" xfId="1" applyFont="1" applyFill="1" applyBorder="1" applyAlignment="1" applyProtection="1">
      <alignment horizontal="center"/>
      <protection locked="0"/>
    </xf>
    <xf numFmtId="168" fontId="9" fillId="19" borderId="13" xfId="0" applyNumberFormat="1" applyFont="1" applyFill="1" applyBorder="1" applyAlignment="1" applyProtection="1">
      <alignment horizontal="center"/>
    </xf>
    <xf numFmtId="164" fontId="0" fillId="12" borderId="5" xfId="1" applyFont="1" applyFill="1" applyBorder="1" applyAlignment="1" applyProtection="1">
      <alignment horizontal="center"/>
      <protection locked="0"/>
    </xf>
    <xf numFmtId="0" fontId="4" fillId="3" borderId="1" xfId="0" applyFont="1" applyFill="1" applyBorder="1" applyAlignment="1">
      <alignment horizontal="right" wrapText="1"/>
    </xf>
    <xf numFmtId="0" fontId="4" fillId="3" borderId="2" xfId="0" applyFont="1" applyFill="1" applyBorder="1" applyAlignment="1">
      <alignment horizontal="right" wrapText="1"/>
    </xf>
    <xf numFmtId="0" fontId="4" fillId="3" borderId="4" xfId="0" applyFont="1" applyFill="1" applyBorder="1" applyAlignment="1">
      <alignment horizontal="right" wrapText="1"/>
    </xf>
    <xf numFmtId="0" fontId="4" fillId="3" borderId="5" xfId="0" applyFont="1" applyFill="1" applyBorder="1" applyAlignment="1">
      <alignment horizontal="right" wrapText="1"/>
    </xf>
    <xf numFmtId="0" fontId="4" fillId="3" borderId="40" xfId="0" applyFont="1" applyFill="1" applyBorder="1" applyAlignment="1">
      <alignment horizontal="left"/>
    </xf>
    <xf numFmtId="0" fontId="4" fillId="3" borderId="41" xfId="0" applyFont="1" applyFill="1" applyBorder="1" applyAlignment="1">
      <alignment horizontal="left"/>
    </xf>
    <xf numFmtId="0" fontId="4" fillId="3" borderId="20" xfId="0" applyFont="1" applyFill="1" applyBorder="1" applyAlignment="1">
      <alignment horizontal="left"/>
    </xf>
    <xf numFmtId="0" fontId="0" fillId="0" borderId="0" xfId="0" applyAlignment="1" applyProtection="1">
      <alignment horizontal="left" wrapText="1"/>
      <protection locked="0"/>
    </xf>
    <xf numFmtId="0" fontId="0" fillId="0" borderId="23" xfId="0" applyBorder="1" applyAlignment="1" applyProtection="1">
      <alignment horizontal="left" wrapText="1"/>
      <protection locked="0"/>
    </xf>
  </cellXfs>
  <cellStyles count="11">
    <cellStyle name="Comma" xfId="1" builtinId="3"/>
    <cellStyle name="Hyperlink" xfId="10" builtinId="8"/>
    <cellStyle name="Normal" xfId="0" builtinId="0"/>
    <cellStyle name="Normal 2" xfId="3"/>
    <cellStyle name="Normal 2 2" xfId="7"/>
    <cellStyle name="Normal 3" xfId="4"/>
    <cellStyle name="Normal 3 2" xfId="9"/>
    <cellStyle name="Percent" xfId="2" builtinId="5"/>
    <cellStyle name="Percent 2" xfId="5"/>
    <cellStyle name="표준 6" xfId="8"/>
    <cellStyle name="표준 9" xfId="6"/>
  </cellStyles>
  <dxfs count="6">
    <dxf>
      <fill>
        <patternFill>
          <bgColor rgb="FF66FF66"/>
        </patternFill>
      </fill>
      <border>
        <left style="thin">
          <color auto="1"/>
        </left>
        <right style="thin">
          <color auto="1"/>
        </right>
        <top style="thin">
          <color auto="1"/>
        </top>
        <bottom style="thin">
          <color auto="1"/>
        </bottom>
        <vertical/>
        <horizontal/>
      </border>
    </dxf>
    <dxf>
      <fill>
        <patternFill>
          <bgColor rgb="FF66FF66"/>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66FF66"/>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FF66"/>
      <color rgb="FFFFE389"/>
      <color rgb="FF66FF66"/>
      <color rgb="FF66FF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2968153</xdr:colOff>
      <xdr:row>0</xdr:row>
      <xdr:rowOff>57150</xdr:rowOff>
    </xdr:from>
    <xdr:to>
      <xdr:col>3</xdr:col>
      <xdr:colOff>1439282</xdr:colOff>
      <xdr:row>10</xdr:row>
      <xdr:rowOff>138004</xdr:rowOff>
    </xdr:to>
    <xdr:pic>
      <xdr:nvPicPr>
        <xdr:cNvPr id="4" name="Picture 3" descr="gm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6073303" y="57150"/>
          <a:ext cx="1985854" cy="1985854"/>
        </a:xfrm>
        <a:prstGeom prst="rect">
          <a:avLst/>
        </a:prstGeom>
        <a:noFill/>
        <a:ln w="9525">
          <a:noFill/>
          <a:miter lim="800000"/>
          <a:headEnd/>
          <a:tailEnd/>
        </a:ln>
      </xdr:spPr>
    </xdr:pic>
    <xdr:clientData/>
  </xdr:twoCellAnchor>
  <xdr:twoCellAnchor>
    <xdr:from>
      <xdr:col>0</xdr:col>
      <xdr:colOff>304800</xdr:colOff>
      <xdr:row>6</xdr:row>
      <xdr:rowOff>180975</xdr:rowOff>
    </xdr:from>
    <xdr:to>
      <xdr:col>3</xdr:col>
      <xdr:colOff>2038350</xdr:colOff>
      <xdr:row>15</xdr:row>
      <xdr:rowOff>112777</xdr:rowOff>
    </xdr:to>
    <xdr:sp macro="" textlink="">
      <xdr:nvSpPr>
        <xdr:cNvPr id="5" name="Title 1">
          <a:extLst>
            <a:ext uri="{FF2B5EF4-FFF2-40B4-BE49-F238E27FC236}">
              <a16:creationId xmlns:a16="http://schemas.microsoft.com/office/drawing/2014/main" id="{00000000-0008-0000-0000-000005000000}"/>
            </a:ext>
          </a:extLst>
        </xdr:cNvPr>
        <xdr:cNvSpPr>
          <a:spLocks noGrp="1"/>
        </xdr:cNvSpPr>
      </xdr:nvSpPr>
      <xdr:spPr>
        <a:xfrm>
          <a:off x="304800" y="1323975"/>
          <a:ext cx="8353425" cy="1646302"/>
        </a:xfrm>
        <a:prstGeom prst="rect">
          <a:avLst/>
        </a:prstGeom>
      </xdr:spPr>
      <xdr:txBody>
        <a:bodyPr vert="horz" wrap="square" lIns="91440" tIns="45720" rIns="91440" bIns="45720" rtlCol="0" anchor="b">
          <a:noAutofit/>
        </a:bodyPr>
        <a:lstStyle>
          <a:lvl1pPr algn="r" defTabSz="457200" rtl="0" eaLnBrk="1" latinLnBrk="0" hangingPunct="1">
            <a:spcBef>
              <a:spcPct val="0"/>
            </a:spcBef>
            <a:buNone/>
            <a:defRPr sz="5400" kern="1200">
              <a:solidFill>
                <a:schemeClr val="accent1"/>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r>
            <a:rPr lang="en-GB" sz="3200" kern="1200">
              <a:solidFill>
                <a:schemeClr val="tx1"/>
              </a:solidFill>
              <a:latin typeface="+mj-lt"/>
              <a:ea typeface="+mj-ea"/>
              <a:cs typeface="+mj-cs"/>
            </a:rPr>
            <a:t>BCA Green Mark for  Non-Residential Buildings</a:t>
          </a:r>
          <a:endParaRPr lang="en-SG" sz="3200" kern="1200">
            <a:solidFill>
              <a:schemeClr val="tx1"/>
            </a:solidFill>
            <a:latin typeface="+mj-lt"/>
            <a:ea typeface="+mj-ea"/>
            <a:cs typeface="+mj-cs"/>
          </a:endParaRPr>
        </a:p>
      </xdr:txBody>
    </xdr:sp>
    <xdr:clientData/>
  </xdr:twoCellAnchor>
  <xdr:twoCellAnchor>
    <xdr:from>
      <xdr:col>1</xdr:col>
      <xdr:colOff>413898</xdr:colOff>
      <xdr:row>15</xdr:row>
      <xdr:rowOff>141349</xdr:rowOff>
    </xdr:from>
    <xdr:to>
      <xdr:col>3</xdr:col>
      <xdr:colOff>2046734</xdr:colOff>
      <xdr:row>22</xdr:row>
      <xdr:rowOff>95248</xdr:rowOff>
    </xdr:to>
    <xdr:sp macro="" textlink="">
      <xdr:nvSpPr>
        <xdr:cNvPr id="6" name="Subtitle 2">
          <a:extLst>
            <a:ext uri="{FF2B5EF4-FFF2-40B4-BE49-F238E27FC236}">
              <a16:creationId xmlns:a16="http://schemas.microsoft.com/office/drawing/2014/main" id="{00000000-0008-0000-0000-000006000000}"/>
            </a:ext>
          </a:extLst>
        </xdr:cNvPr>
        <xdr:cNvSpPr>
          <a:spLocks noGrp="1"/>
        </xdr:cNvSpPr>
      </xdr:nvSpPr>
      <xdr:spPr>
        <a:xfrm>
          <a:off x="899673" y="2998849"/>
          <a:ext cx="7766936" cy="1287399"/>
        </a:xfrm>
        <a:prstGeom prst="rect">
          <a:avLst/>
        </a:prstGeom>
      </xdr:spPr>
      <xdr:txBody>
        <a:bodyPr vert="horz" wrap="square" lIns="91440" tIns="45720" rIns="91440" bIns="45720" rtlCol="0" anchor="t">
          <a:normAutofit/>
        </a:bodyPr>
        <a:lstStyle>
          <a:lvl1pPr marL="0" indent="0" algn="r" defTabSz="457200" rtl="0" eaLnBrk="1" latinLnBrk="0" hangingPunct="1">
            <a:spcBef>
              <a:spcPts val="1000"/>
            </a:spcBef>
            <a:spcAft>
              <a:spcPts val="0"/>
            </a:spcAft>
            <a:buClr>
              <a:schemeClr val="accent1"/>
            </a:buClr>
            <a:buSzPct val="80000"/>
            <a:buFont typeface="Wingdings 3" charset="2"/>
            <a:buNone/>
            <a:defRPr sz="1800" kern="1200">
              <a:solidFill>
                <a:schemeClr val="tx1">
                  <a:lumMod val="50000"/>
                  <a:lumOff val="50000"/>
                </a:schemeClr>
              </a:solidFill>
              <a:latin typeface="+mn-lt"/>
              <a:ea typeface="+mn-ea"/>
              <a:cs typeface="+mn-cs"/>
            </a:defRPr>
          </a:lvl1pPr>
          <a:lvl2pPr marL="457200" indent="0" algn="ctr" defTabSz="457200" rtl="0" eaLnBrk="1" latinLnBrk="0" hangingPunct="1">
            <a:spcBef>
              <a:spcPts val="1000"/>
            </a:spcBef>
            <a:spcAft>
              <a:spcPts val="0"/>
            </a:spcAft>
            <a:buClr>
              <a:schemeClr val="accent1"/>
            </a:buClr>
            <a:buSzPct val="80000"/>
            <a:buFont typeface="Wingdings 3" charset="2"/>
            <a:buNone/>
            <a:defRPr sz="1600" kern="1200">
              <a:solidFill>
                <a:schemeClr val="tx1">
                  <a:tint val="75000"/>
                </a:schemeClr>
              </a:solidFill>
              <a:latin typeface="+mn-lt"/>
              <a:ea typeface="+mn-ea"/>
              <a:cs typeface="+mn-cs"/>
            </a:defRPr>
          </a:lvl2pPr>
          <a:lvl3pPr marL="914400" indent="0" algn="ctr" defTabSz="457200" rtl="0" eaLnBrk="1" latinLnBrk="0" hangingPunct="1">
            <a:spcBef>
              <a:spcPts val="1000"/>
            </a:spcBef>
            <a:spcAft>
              <a:spcPts val="0"/>
            </a:spcAft>
            <a:buClr>
              <a:schemeClr val="accent1"/>
            </a:buClr>
            <a:buSzPct val="80000"/>
            <a:buFont typeface="Wingdings 3" charset="2"/>
            <a:buNone/>
            <a:defRPr sz="1400" kern="1200">
              <a:solidFill>
                <a:schemeClr val="tx1">
                  <a:tint val="75000"/>
                </a:schemeClr>
              </a:solidFill>
              <a:latin typeface="+mn-lt"/>
              <a:ea typeface="+mn-ea"/>
              <a:cs typeface="+mn-cs"/>
            </a:defRPr>
          </a:lvl3pPr>
          <a:lvl4pPr marL="13716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4pPr>
          <a:lvl5pPr marL="18288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5pPr>
          <a:lvl6pPr marL="22860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6pPr>
          <a:lvl7pPr marL="27432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7pPr>
          <a:lvl8pPr marL="32004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8pPr>
          <a:lvl9pPr marL="36576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9pPr>
        </a:lstStyle>
        <a:p>
          <a:r>
            <a:rPr lang="en-GB" sz="3200" kern="1200">
              <a:solidFill>
                <a:schemeClr val="tx1"/>
              </a:solidFill>
              <a:latin typeface="+mj-lt"/>
              <a:ea typeface="+mn-ea"/>
              <a:cs typeface="+mn-cs"/>
            </a:rPr>
            <a:t>GM NRB: 2015</a:t>
          </a:r>
          <a:endParaRPr lang="en-GB" sz="3200">
            <a:solidFill>
              <a:schemeClr val="tx1"/>
            </a:solidFill>
            <a:latin typeface="+mj-lt"/>
          </a:endParaRPr>
        </a:p>
        <a:p>
          <a:r>
            <a:rPr lang="en-GB" sz="2800" b="1">
              <a:solidFill>
                <a:schemeClr val="tx1"/>
              </a:solidFill>
              <a:latin typeface="Calibri Light" panose="020F0302020204030204" pitchFamily="34" charset="0"/>
            </a:rPr>
            <a:t>Energy Performance Points Calculator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2968153</xdr:colOff>
      <xdr:row>0</xdr:row>
      <xdr:rowOff>57150</xdr:rowOff>
    </xdr:from>
    <xdr:to>
      <xdr:col>3</xdr:col>
      <xdr:colOff>1439282</xdr:colOff>
      <xdr:row>10</xdr:row>
      <xdr:rowOff>138004</xdr:rowOff>
    </xdr:to>
    <xdr:pic>
      <xdr:nvPicPr>
        <xdr:cNvPr id="4" name="Picture 3" descr="gm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6073303" y="57150"/>
          <a:ext cx="1985854" cy="1985854"/>
        </a:xfrm>
        <a:prstGeom prst="rect">
          <a:avLst/>
        </a:prstGeom>
        <a:noFill/>
        <a:ln w="9525">
          <a:noFill/>
          <a:miter lim="800000"/>
          <a:headEnd/>
          <a:tailEnd/>
        </a:ln>
      </xdr:spPr>
    </xdr:pic>
    <xdr:clientData/>
  </xdr:twoCellAnchor>
  <xdr:twoCellAnchor>
    <xdr:from>
      <xdr:col>0</xdr:col>
      <xdr:colOff>285750</xdr:colOff>
      <xdr:row>6</xdr:row>
      <xdr:rowOff>76200</xdr:rowOff>
    </xdr:from>
    <xdr:to>
      <xdr:col>3</xdr:col>
      <xdr:colOff>2019300</xdr:colOff>
      <xdr:row>15</xdr:row>
      <xdr:rowOff>8002</xdr:rowOff>
    </xdr:to>
    <xdr:sp macro="" textlink="">
      <xdr:nvSpPr>
        <xdr:cNvPr id="5" name="Title 1">
          <a:extLst>
            <a:ext uri="{FF2B5EF4-FFF2-40B4-BE49-F238E27FC236}">
              <a16:creationId xmlns:a16="http://schemas.microsoft.com/office/drawing/2014/main" id="{00000000-0008-0000-0100-000005000000}"/>
            </a:ext>
          </a:extLst>
        </xdr:cNvPr>
        <xdr:cNvSpPr>
          <a:spLocks noGrp="1"/>
        </xdr:cNvSpPr>
      </xdr:nvSpPr>
      <xdr:spPr>
        <a:xfrm>
          <a:off x="285750" y="1219200"/>
          <a:ext cx="8353425" cy="1646302"/>
        </a:xfrm>
        <a:prstGeom prst="rect">
          <a:avLst/>
        </a:prstGeom>
      </xdr:spPr>
      <xdr:txBody>
        <a:bodyPr vert="horz" wrap="square" lIns="91440" tIns="45720" rIns="91440" bIns="45720" rtlCol="0" anchor="b">
          <a:noAutofit/>
        </a:bodyPr>
        <a:lstStyle>
          <a:lvl1pPr algn="r" defTabSz="457200" rtl="0" eaLnBrk="1" latinLnBrk="0" hangingPunct="1">
            <a:spcBef>
              <a:spcPct val="0"/>
            </a:spcBef>
            <a:buNone/>
            <a:defRPr sz="5400" kern="1200">
              <a:solidFill>
                <a:schemeClr val="accent1"/>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r>
            <a:rPr lang="en-GB" sz="3200" kern="1200">
              <a:solidFill>
                <a:schemeClr val="tx1"/>
              </a:solidFill>
              <a:latin typeface="+mj-lt"/>
              <a:ea typeface="+mj-ea"/>
              <a:cs typeface="+mj-cs"/>
            </a:rPr>
            <a:t>BCA Green Mark for  Non-Residential Buildings</a:t>
          </a:r>
          <a:endParaRPr lang="en-SG" sz="3200" kern="1200">
            <a:solidFill>
              <a:schemeClr val="tx1"/>
            </a:solidFill>
            <a:latin typeface="+mj-lt"/>
            <a:ea typeface="+mj-ea"/>
            <a:cs typeface="+mj-cs"/>
          </a:endParaRPr>
        </a:p>
      </xdr:txBody>
    </xdr:sp>
    <xdr:clientData/>
  </xdr:twoCellAnchor>
  <xdr:twoCellAnchor>
    <xdr:from>
      <xdr:col>1</xdr:col>
      <xdr:colOff>385323</xdr:colOff>
      <xdr:row>15</xdr:row>
      <xdr:rowOff>7999</xdr:rowOff>
    </xdr:from>
    <xdr:to>
      <xdr:col>3</xdr:col>
      <xdr:colOff>2018159</xdr:colOff>
      <xdr:row>20</xdr:row>
      <xdr:rowOff>152398</xdr:rowOff>
    </xdr:to>
    <xdr:sp macro="" textlink="">
      <xdr:nvSpPr>
        <xdr:cNvPr id="6" name="Subtitle 2">
          <a:extLst>
            <a:ext uri="{FF2B5EF4-FFF2-40B4-BE49-F238E27FC236}">
              <a16:creationId xmlns:a16="http://schemas.microsoft.com/office/drawing/2014/main" id="{00000000-0008-0000-0100-000006000000}"/>
            </a:ext>
          </a:extLst>
        </xdr:cNvPr>
        <xdr:cNvSpPr>
          <a:spLocks noGrp="1"/>
        </xdr:cNvSpPr>
      </xdr:nvSpPr>
      <xdr:spPr>
        <a:xfrm>
          <a:off x="871098" y="2865499"/>
          <a:ext cx="7766936" cy="1096899"/>
        </a:xfrm>
        <a:prstGeom prst="rect">
          <a:avLst/>
        </a:prstGeom>
      </xdr:spPr>
      <xdr:txBody>
        <a:bodyPr vert="horz" wrap="square" lIns="91440" tIns="45720" rIns="91440" bIns="45720" rtlCol="0" anchor="t">
          <a:normAutofit/>
        </a:bodyPr>
        <a:lstStyle>
          <a:lvl1pPr marL="0" indent="0" algn="r" defTabSz="457200" rtl="0" eaLnBrk="1" latinLnBrk="0" hangingPunct="1">
            <a:spcBef>
              <a:spcPts val="1000"/>
            </a:spcBef>
            <a:spcAft>
              <a:spcPts val="0"/>
            </a:spcAft>
            <a:buClr>
              <a:schemeClr val="accent1"/>
            </a:buClr>
            <a:buSzPct val="80000"/>
            <a:buFont typeface="Wingdings 3" charset="2"/>
            <a:buNone/>
            <a:defRPr sz="1800" kern="1200">
              <a:solidFill>
                <a:schemeClr val="tx1">
                  <a:lumMod val="50000"/>
                  <a:lumOff val="50000"/>
                </a:schemeClr>
              </a:solidFill>
              <a:latin typeface="+mn-lt"/>
              <a:ea typeface="+mn-ea"/>
              <a:cs typeface="+mn-cs"/>
            </a:defRPr>
          </a:lvl1pPr>
          <a:lvl2pPr marL="457200" indent="0" algn="ctr" defTabSz="457200" rtl="0" eaLnBrk="1" latinLnBrk="0" hangingPunct="1">
            <a:spcBef>
              <a:spcPts val="1000"/>
            </a:spcBef>
            <a:spcAft>
              <a:spcPts val="0"/>
            </a:spcAft>
            <a:buClr>
              <a:schemeClr val="accent1"/>
            </a:buClr>
            <a:buSzPct val="80000"/>
            <a:buFont typeface="Wingdings 3" charset="2"/>
            <a:buNone/>
            <a:defRPr sz="1600" kern="1200">
              <a:solidFill>
                <a:schemeClr val="tx1">
                  <a:tint val="75000"/>
                </a:schemeClr>
              </a:solidFill>
              <a:latin typeface="+mn-lt"/>
              <a:ea typeface="+mn-ea"/>
              <a:cs typeface="+mn-cs"/>
            </a:defRPr>
          </a:lvl2pPr>
          <a:lvl3pPr marL="914400" indent="0" algn="ctr" defTabSz="457200" rtl="0" eaLnBrk="1" latinLnBrk="0" hangingPunct="1">
            <a:spcBef>
              <a:spcPts val="1000"/>
            </a:spcBef>
            <a:spcAft>
              <a:spcPts val="0"/>
            </a:spcAft>
            <a:buClr>
              <a:schemeClr val="accent1"/>
            </a:buClr>
            <a:buSzPct val="80000"/>
            <a:buFont typeface="Wingdings 3" charset="2"/>
            <a:buNone/>
            <a:defRPr sz="1400" kern="1200">
              <a:solidFill>
                <a:schemeClr val="tx1">
                  <a:tint val="75000"/>
                </a:schemeClr>
              </a:solidFill>
              <a:latin typeface="+mn-lt"/>
              <a:ea typeface="+mn-ea"/>
              <a:cs typeface="+mn-cs"/>
            </a:defRPr>
          </a:lvl3pPr>
          <a:lvl4pPr marL="13716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4pPr>
          <a:lvl5pPr marL="18288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5pPr>
          <a:lvl6pPr marL="22860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6pPr>
          <a:lvl7pPr marL="27432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7pPr>
          <a:lvl8pPr marL="32004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8pPr>
          <a:lvl9pPr marL="36576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9pPr>
        </a:lstStyle>
        <a:p>
          <a:r>
            <a:rPr lang="en-GB" sz="3200" kern="1200">
              <a:solidFill>
                <a:schemeClr val="tx1"/>
              </a:solidFill>
              <a:latin typeface="+mj-lt"/>
              <a:ea typeface="+mn-ea"/>
              <a:cs typeface="+mn-cs"/>
            </a:rPr>
            <a:t>GM NRB: 2015</a:t>
          </a:r>
          <a:endParaRPr lang="en-GB" sz="3200">
            <a:solidFill>
              <a:schemeClr val="tx1"/>
            </a:solidFill>
            <a:latin typeface="+mj-lt"/>
          </a:endParaRPr>
        </a:p>
        <a:p>
          <a:r>
            <a:rPr lang="en-GB" sz="2800" b="1">
              <a:solidFill>
                <a:schemeClr val="tx1"/>
              </a:solidFill>
              <a:latin typeface="Calibri Light" panose="020F0302020204030204" pitchFamily="34" charset="0"/>
            </a:rPr>
            <a:t>Energy Performance Points Calculator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20</xdr:row>
      <xdr:rowOff>0</xdr:rowOff>
    </xdr:from>
    <xdr:to>
      <xdr:col>31</xdr:col>
      <xdr:colOff>896470</xdr:colOff>
      <xdr:row>41</xdr:row>
      <xdr:rowOff>89646</xdr:rowOff>
    </xdr:to>
    <xdr:sp macro="" textlink="">
      <xdr:nvSpPr>
        <xdr:cNvPr id="4" name="Content Placeholder 2">
          <a:extLst>
            <a:ext uri="{FF2B5EF4-FFF2-40B4-BE49-F238E27FC236}">
              <a16:creationId xmlns:a16="http://schemas.microsoft.com/office/drawing/2014/main" id="{00000000-0008-0000-0600-000004000000}"/>
            </a:ext>
          </a:extLst>
        </xdr:cNvPr>
        <xdr:cNvSpPr txBox="1">
          <a:spLocks/>
        </xdr:cNvSpPr>
      </xdr:nvSpPr>
      <xdr:spPr>
        <a:xfrm>
          <a:off x="18545175" y="4810125"/>
          <a:ext cx="4735045" cy="4090146"/>
        </a:xfrm>
        <a:prstGeom prst="rect">
          <a:avLst/>
        </a:prstGeom>
        <a:ln>
          <a:solidFill>
            <a:srgbClr val="9BBB59">
              <a:lumMod val="75000"/>
            </a:srgbClr>
          </a:solidFill>
        </a:ln>
      </xdr:spPr>
      <xdr:txBody>
        <a:bodyPr wrap="square">
          <a:normAutofit/>
        </a:bodyPr>
        <a:lstStyle>
          <a:defPPr>
            <a:defRPr lang="en-US"/>
          </a:defPPr>
          <a:lvl1pPr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1pPr>
          <a:lvl2pPr marL="457200"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2pPr>
          <a:lvl3pPr marL="914400"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3pPr>
          <a:lvl4pPr marL="1371600"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4pPr>
          <a:lvl5pPr marL="1828800"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5pPr>
          <a:lvl6pPr marL="2286000" algn="l" defTabSz="914400" rtl="0" eaLnBrk="1" latinLnBrk="0" hangingPunct="1">
            <a:defRPr sz="2000" kern="1200">
              <a:solidFill>
                <a:schemeClr val="tx1"/>
              </a:solidFill>
              <a:latin typeface="Calibri" pitchFamily="34" charset="0"/>
              <a:ea typeface="+mn-ea"/>
              <a:cs typeface="Arial" charset="0"/>
            </a:defRPr>
          </a:lvl6pPr>
          <a:lvl7pPr marL="2743200" algn="l" defTabSz="914400" rtl="0" eaLnBrk="1" latinLnBrk="0" hangingPunct="1">
            <a:defRPr sz="2000" kern="1200">
              <a:solidFill>
                <a:schemeClr val="tx1"/>
              </a:solidFill>
              <a:latin typeface="Calibri" pitchFamily="34" charset="0"/>
              <a:ea typeface="+mn-ea"/>
              <a:cs typeface="Arial" charset="0"/>
            </a:defRPr>
          </a:lvl7pPr>
          <a:lvl8pPr marL="3200400" algn="l" defTabSz="914400" rtl="0" eaLnBrk="1" latinLnBrk="0" hangingPunct="1">
            <a:defRPr sz="2000" kern="1200">
              <a:solidFill>
                <a:schemeClr val="tx1"/>
              </a:solidFill>
              <a:latin typeface="Calibri" pitchFamily="34" charset="0"/>
              <a:ea typeface="+mn-ea"/>
              <a:cs typeface="Arial" charset="0"/>
            </a:defRPr>
          </a:lvl8pPr>
          <a:lvl9pPr marL="3657600" algn="l" defTabSz="914400" rtl="0" eaLnBrk="1" latinLnBrk="0" hangingPunct="1">
            <a:defRPr sz="2000" kern="1200">
              <a:solidFill>
                <a:schemeClr val="tx1"/>
              </a:solidFill>
              <a:latin typeface="Calibri" pitchFamily="34" charset="0"/>
              <a:ea typeface="+mn-ea"/>
              <a:cs typeface="Arial" charset="0"/>
            </a:defRPr>
          </a:lvl9pPr>
        </a:lstStyle>
        <a:p>
          <a:pPr marL="0" marR="0" lvl="0" indent="0" algn="l" defTabSz="914400" rtl="0" eaLnBrk="1" fontAlgn="base" latinLnBrk="0" hangingPunct="1">
            <a:lnSpc>
              <a:spcPct val="80000"/>
            </a:lnSpc>
            <a:spcBef>
              <a:spcPct val="20000"/>
            </a:spcBef>
            <a:spcAft>
              <a:spcPct val="0"/>
            </a:spcAft>
            <a:buClr>
              <a:srgbClr val="0BD0D9"/>
            </a:buClr>
            <a:buSzPct val="95000"/>
            <a:buFontTx/>
            <a:buNone/>
            <a:tabLst/>
            <a:defRPr/>
          </a:pPr>
          <a:r>
            <a:rPr kumimoji="0" lang="en-GB" sz="2400" b="0" i="0" u="none" strike="noStrike" kern="1200" cap="none" spc="0" normalizeH="0" baseline="0" noProof="0">
              <a:ln>
                <a:noFill/>
              </a:ln>
              <a:solidFill>
                <a:sysClr val="windowText" lastClr="000000"/>
              </a:solidFill>
              <a:effectLst/>
              <a:uLnTx/>
              <a:uFillTx/>
              <a:latin typeface="Calibri" pitchFamily="34" charset="0"/>
              <a:ea typeface="+mn-ea"/>
              <a:cs typeface="Arial" charset="0"/>
            </a:rPr>
            <a:t>Savings will be based on </a:t>
          </a:r>
          <a:r>
            <a:rPr kumimoji="0" lang="en-GB" sz="2400" b="0" i="0" u="sng" strike="noStrike" kern="1200" cap="none" spc="0" normalizeH="0" baseline="0" noProof="0">
              <a:ln>
                <a:noFill/>
              </a:ln>
              <a:solidFill>
                <a:sysClr val="windowText" lastClr="000000"/>
              </a:solidFill>
              <a:effectLst/>
              <a:uLnTx/>
              <a:uFillTx/>
              <a:latin typeface="Calibri" pitchFamily="34" charset="0"/>
              <a:ea typeface="+mn-ea"/>
              <a:cs typeface="Arial" charset="0"/>
            </a:rPr>
            <a:t>either </a:t>
          </a:r>
          <a:r>
            <a:rPr kumimoji="0" lang="en-GB" sz="2400" b="0" i="0" u="none" strike="noStrike" kern="1200" cap="none" spc="0" normalizeH="0" baseline="0" noProof="0">
              <a:ln>
                <a:noFill/>
              </a:ln>
              <a:solidFill>
                <a:sysClr val="windowText" lastClr="000000"/>
              </a:solidFill>
              <a:effectLst/>
              <a:uLnTx/>
              <a:uFillTx/>
              <a:latin typeface="Calibri" pitchFamily="34" charset="0"/>
              <a:ea typeface="+mn-ea"/>
              <a:cs typeface="Arial" charset="0"/>
            </a:rPr>
            <a:t>option</a:t>
          </a:r>
        </a:p>
        <a:p>
          <a:pPr marL="0" marR="0" lvl="0" indent="0" algn="l" defTabSz="914400" rtl="0" eaLnBrk="1" fontAlgn="base" latinLnBrk="0" hangingPunct="1">
            <a:lnSpc>
              <a:spcPct val="80000"/>
            </a:lnSpc>
            <a:spcBef>
              <a:spcPct val="20000"/>
            </a:spcBef>
            <a:spcAft>
              <a:spcPct val="0"/>
            </a:spcAft>
            <a:buClr>
              <a:srgbClr val="0BD0D9"/>
            </a:buClr>
            <a:buSzPct val="95000"/>
            <a:buFontTx/>
            <a:buNone/>
            <a:tabLst/>
            <a:defRPr/>
          </a:pPr>
          <a:r>
            <a:rPr kumimoji="0" lang="en-GB" sz="2400" b="0" i="0" u="none" strike="noStrike" kern="1200" cap="none" spc="0" normalizeH="0" baseline="0" noProof="0">
              <a:ln>
                <a:noFill/>
              </a:ln>
              <a:solidFill>
                <a:sysClr val="windowText" lastClr="000000"/>
              </a:solidFill>
              <a:effectLst/>
              <a:uLnTx/>
              <a:uFillTx/>
              <a:latin typeface="Calibri" pitchFamily="34" charset="0"/>
              <a:ea typeface="+mn-ea"/>
              <a:cs typeface="Arial" charset="0"/>
            </a:rPr>
            <a:t>Option 1 – SS553: 2015 :  no baseline for &lt;4kW (no savings can be claimed.)</a:t>
          </a:r>
        </a:p>
        <a:p>
          <a:pPr marL="0" marR="0" lvl="0" indent="0" algn="l" defTabSz="914400" rtl="0" eaLnBrk="1" fontAlgn="base" latinLnBrk="0" hangingPunct="1">
            <a:lnSpc>
              <a:spcPct val="80000"/>
            </a:lnSpc>
            <a:spcBef>
              <a:spcPct val="20000"/>
            </a:spcBef>
            <a:spcAft>
              <a:spcPct val="0"/>
            </a:spcAft>
            <a:buClr>
              <a:srgbClr val="0BD0D9"/>
            </a:buClr>
            <a:buSzPct val="95000"/>
            <a:buFontTx/>
            <a:buNone/>
            <a:tabLst/>
            <a:defRPr/>
          </a:pPr>
          <a:r>
            <a:rPr kumimoji="0" lang="en-GB" sz="2400" b="0" i="0" u="none" strike="noStrike" kern="1200" cap="none" spc="0" normalizeH="0" baseline="0" noProof="0">
              <a:ln>
                <a:noFill/>
              </a:ln>
              <a:solidFill>
                <a:sysClr val="windowText" lastClr="000000"/>
              </a:solidFill>
              <a:effectLst/>
              <a:uLnTx/>
              <a:uFillTx/>
              <a:latin typeface="Calibri" pitchFamily="34" charset="0"/>
              <a:ea typeface="+mn-ea"/>
              <a:cs typeface="Arial" charset="0"/>
            </a:rPr>
            <a:t>Option 2 – SS553:2015: Input Power with allowable adjustment factor &gt; 4kW fans running at maximum design air flow</a:t>
          </a:r>
        </a:p>
        <a:p>
          <a:pPr marL="273050" marR="0" lvl="0" indent="-273050" algn="l" defTabSz="914400" rtl="0" eaLnBrk="1" fontAlgn="base" latinLnBrk="0" hangingPunct="1">
            <a:lnSpc>
              <a:spcPct val="80000"/>
            </a:lnSpc>
            <a:spcBef>
              <a:spcPct val="20000"/>
            </a:spcBef>
            <a:spcAft>
              <a:spcPct val="0"/>
            </a:spcAft>
            <a:buClr>
              <a:srgbClr val="0BD0D9"/>
            </a:buClr>
            <a:buSzPct val="95000"/>
            <a:buFontTx/>
            <a:buNone/>
            <a:tabLst/>
            <a:defRPr/>
          </a:pPr>
          <a:endParaRPr kumimoji="0" lang="en-US" sz="2600" b="0" i="0" u="none" strike="noStrike" kern="1200" cap="none" spc="0" normalizeH="0" baseline="0" noProof="0">
            <a:ln>
              <a:noFill/>
            </a:ln>
            <a:solidFill>
              <a:sysClr val="windowText" lastClr="000000"/>
            </a:solidFill>
            <a:effectLst/>
            <a:uLnTx/>
            <a:uFillTx/>
            <a:latin typeface="Calibri" pitchFamily="34" charset="0"/>
            <a:ea typeface="+mn-ea"/>
            <a:cs typeface="Arial" charset="0"/>
          </a:endParaRPr>
        </a:p>
        <a:p>
          <a:pPr marL="273050" marR="0" lvl="0" indent="-273050" algn="l" defTabSz="914400" rtl="0" eaLnBrk="1" fontAlgn="base" latinLnBrk="0" hangingPunct="1">
            <a:lnSpc>
              <a:spcPct val="80000"/>
            </a:lnSpc>
            <a:spcBef>
              <a:spcPct val="20000"/>
            </a:spcBef>
            <a:spcAft>
              <a:spcPct val="0"/>
            </a:spcAft>
            <a:buClr>
              <a:srgbClr val="0BD0D9"/>
            </a:buClr>
            <a:buSzPct val="95000"/>
            <a:buFontTx/>
            <a:buNone/>
            <a:tabLst/>
            <a:defRPr/>
          </a:pPr>
          <a:endParaRPr kumimoji="0" lang="en-GB" sz="2800" b="0" i="0" u="none" strike="noStrike" kern="1200" cap="none" spc="0" normalizeH="0" baseline="0" noProof="0">
            <a:ln>
              <a:noFill/>
            </a:ln>
            <a:solidFill>
              <a:sysClr val="windowText" lastClr="000000"/>
            </a:solidFill>
            <a:effectLst/>
            <a:uLnTx/>
            <a:uFillTx/>
            <a:latin typeface="Times New Roman" pitchFamily="18" charset="0"/>
            <a:ea typeface="+mn-ea"/>
            <a:cs typeface="Times New Roman" pitchFamily="18" charset="0"/>
          </a:endParaRPr>
        </a:p>
        <a:p>
          <a:pPr marL="273050" marR="0" lvl="0" indent="-273050" algn="l" defTabSz="914400" rtl="0" eaLnBrk="1" fontAlgn="base" latinLnBrk="0" hangingPunct="1">
            <a:lnSpc>
              <a:spcPct val="80000"/>
            </a:lnSpc>
            <a:spcBef>
              <a:spcPct val="20000"/>
            </a:spcBef>
            <a:spcAft>
              <a:spcPct val="0"/>
            </a:spcAft>
            <a:buClr>
              <a:srgbClr val="0BD0D9"/>
            </a:buClr>
            <a:buSzPct val="95000"/>
            <a:buFontTx/>
            <a:buNone/>
            <a:tabLst/>
            <a:defRPr/>
          </a:pPr>
          <a:endParaRPr kumimoji="0" lang="en-US" sz="2600" b="0" i="0" u="none" strike="noStrike" kern="1200" cap="none" spc="0" normalizeH="0" baseline="0" noProof="0">
            <a:ln>
              <a:noFill/>
            </a:ln>
            <a:solidFill>
              <a:sysClr val="windowText" lastClr="000000"/>
            </a:solidFill>
            <a:effectLst/>
            <a:uLnTx/>
            <a:uFillTx/>
            <a:latin typeface="Calibri" pitchFamily="34" charset="0"/>
            <a:ea typeface="+mn-ea"/>
            <a:cs typeface="Arial" charset="0"/>
          </a:endParaRPr>
        </a:p>
        <a:p>
          <a:pPr marL="273050" marR="0" lvl="0" indent="-273050" algn="l" defTabSz="914400" rtl="0" eaLnBrk="1" fontAlgn="base" latinLnBrk="0" hangingPunct="1">
            <a:lnSpc>
              <a:spcPct val="80000"/>
            </a:lnSpc>
            <a:spcBef>
              <a:spcPct val="20000"/>
            </a:spcBef>
            <a:spcAft>
              <a:spcPct val="0"/>
            </a:spcAft>
            <a:buClr>
              <a:srgbClr val="0BD0D9"/>
            </a:buClr>
            <a:buSzPct val="95000"/>
            <a:buFontTx/>
            <a:buNone/>
            <a:tabLst/>
            <a:defRPr/>
          </a:pPr>
          <a:r>
            <a:rPr kumimoji="0" lang="en-US" sz="2400" b="0" i="0" u="none" strike="noStrike" kern="1200" cap="none" spc="0" normalizeH="0" baseline="0" noProof="0">
              <a:ln>
                <a:noFill/>
              </a:ln>
              <a:solidFill>
                <a:sysClr val="windowText" lastClr="000000"/>
              </a:solidFill>
              <a:effectLst/>
              <a:uLnTx/>
              <a:uFillTx/>
              <a:latin typeface="Calibri" pitchFamily="34" charset="0"/>
              <a:ea typeface="+mn-ea"/>
              <a:cs typeface="Arial" charset="0"/>
            </a:rPr>
            <a:t>	</a:t>
          </a:r>
        </a:p>
        <a:p>
          <a:pPr marL="273050" marR="0" lvl="0" indent="-273050" algn="l" defTabSz="914400" rtl="0" eaLnBrk="1" fontAlgn="base" latinLnBrk="0" hangingPunct="1">
            <a:lnSpc>
              <a:spcPct val="80000"/>
            </a:lnSpc>
            <a:spcBef>
              <a:spcPct val="20000"/>
            </a:spcBef>
            <a:spcAft>
              <a:spcPct val="0"/>
            </a:spcAft>
            <a:buClr>
              <a:srgbClr val="0BD0D9"/>
            </a:buClr>
            <a:buSzPct val="95000"/>
            <a:buFontTx/>
            <a:buNone/>
            <a:tabLst/>
            <a:defRPr/>
          </a:pPr>
          <a:endParaRPr kumimoji="0" lang="en-US" sz="2400" b="0" i="0" u="none" strike="noStrike" kern="1200" cap="none" spc="0" normalizeH="0" baseline="0" noProof="0">
            <a:ln>
              <a:noFill/>
            </a:ln>
            <a:solidFill>
              <a:sysClr val="windowText" lastClr="000000"/>
            </a:solidFill>
            <a:effectLst/>
            <a:uLnTx/>
            <a:uFillTx/>
            <a:latin typeface="Calibri" pitchFamily="34" charset="0"/>
            <a:ea typeface="+mn-ea"/>
            <a:cs typeface="Arial" charset="0"/>
          </a:endParaRPr>
        </a:p>
        <a:p>
          <a:pPr marL="273050" marR="0" lvl="0" indent="-273050" algn="l" defTabSz="914400" rtl="0" eaLnBrk="1" fontAlgn="base" latinLnBrk="0" hangingPunct="1">
            <a:lnSpc>
              <a:spcPct val="80000"/>
            </a:lnSpc>
            <a:spcBef>
              <a:spcPct val="20000"/>
            </a:spcBef>
            <a:spcAft>
              <a:spcPct val="0"/>
            </a:spcAft>
            <a:buClr>
              <a:srgbClr val="0BD0D9"/>
            </a:buClr>
            <a:buSzPct val="95000"/>
            <a:buFontTx/>
            <a:buNone/>
            <a:tabLst/>
            <a:defRPr/>
          </a:pPr>
          <a:endParaRPr kumimoji="0" lang="en-US" sz="1600" b="0" i="0" u="none" strike="noStrike" kern="1200" cap="none" spc="0" normalizeH="0" baseline="0" noProof="0">
            <a:ln>
              <a:noFill/>
            </a:ln>
            <a:solidFill>
              <a:sysClr val="windowText" lastClr="000000"/>
            </a:solidFill>
            <a:effectLst/>
            <a:uLnTx/>
            <a:uFillTx/>
            <a:latin typeface="Calibri" pitchFamily="34" charset="0"/>
            <a:ea typeface="+mn-ea"/>
            <a:cs typeface="Arial" charset="0"/>
          </a:endParaRPr>
        </a:p>
        <a:p>
          <a:pPr marL="273050" marR="0" lvl="0" indent="-273050" algn="l" defTabSz="914400" rtl="0" eaLnBrk="1" fontAlgn="base" latinLnBrk="0" hangingPunct="1">
            <a:lnSpc>
              <a:spcPct val="80000"/>
            </a:lnSpc>
            <a:spcBef>
              <a:spcPct val="20000"/>
            </a:spcBef>
            <a:spcAft>
              <a:spcPct val="0"/>
            </a:spcAft>
            <a:buClr>
              <a:srgbClr val="0BD0D9"/>
            </a:buClr>
            <a:buSzPct val="95000"/>
            <a:buFontTx/>
            <a:buNone/>
            <a:tabLst/>
            <a:defRPr/>
          </a:pPr>
          <a:endParaRPr kumimoji="0" lang="en-US" sz="1600" b="0" i="0" u="none" strike="noStrike" kern="1200" cap="none" spc="0" normalizeH="0" baseline="0" noProof="0">
            <a:ln>
              <a:noFill/>
            </a:ln>
            <a:solidFill>
              <a:sysClr val="windowText" lastClr="000000"/>
            </a:solidFill>
            <a:effectLst/>
            <a:uLnTx/>
            <a:uFillTx/>
            <a:latin typeface="Calibri" pitchFamily="34" charset="0"/>
            <a:ea typeface="+mn-ea"/>
            <a:cs typeface="Arial" charset="0"/>
          </a:endParaRPr>
        </a:p>
        <a:p>
          <a:pPr marL="273050" marR="0" lvl="0" indent="-273050" algn="l" defTabSz="914400" rtl="0" eaLnBrk="1" fontAlgn="base" latinLnBrk="0" hangingPunct="1">
            <a:lnSpc>
              <a:spcPct val="80000"/>
            </a:lnSpc>
            <a:spcBef>
              <a:spcPct val="20000"/>
            </a:spcBef>
            <a:spcAft>
              <a:spcPct val="0"/>
            </a:spcAft>
            <a:buClr>
              <a:srgbClr val="0BD0D9"/>
            </a:buClr>
            <a:buSzPct val="95000"/>
            <a:buFontTx/>
            <a:buNone/>
            <a:tabLst/>
            <a:defRPr/>
          </a:pPr>
          <a:endParaRPr kumimoji="0" lang="en-US" sz="1600" b="0" i="0" u="none" strike="noStrike" kern="1200" cap="none" spc="0" normalizeH="0" baseline="0" noProof="0">
            <a:ln>
              <a:noFill/>
            </a:ln>
            <a:solidFill>
              <a:sysClr val="windowText" lastClr="000000"/>
            </a:solidFill>
            <a:effectLst/>
            <a:uLnTx/>
            <a:uFillTx/>
            <a:latin typeface="Calibri" pitchFamily="34" charset="0"/>
            <a:ea typeface="+mn-ea"/>
            <a:cs typeface="Arial" charset="0"/>
          </a:endParaRPr>
        </a:p>
        <a:p>
          <a:pPr marL="273050" marR="0" lvl="0" indent="-273050" algn="l" defTabSz="914400" rtl="0" eaLnBrk="1" fontAlgn="base" latinLnBrk="0" hangingPunct="1">
            <a:lnSpc>
              <a:spcPct val="80000"/>
            </a:lnSpc>
            <a:spcBef>
              <a:spcPct val="20000"/>
            </a:spcBef>
            <a:spcAft>
              <a:spcPct val="0"/>
            </a:spcAft>
            <a:buClr>
              <a:srgbClr val="0BD0D9"/>
            </a:buClr>
            <a:buSzPct val="95000"/>
            <a:buFont typeface="Wingdings 2" pitchFamily="18" charset="2"/>
            <a:buChar char=""/>
            <a:tabLst/>
            <a:defRPr/>
          </a:pPr>
          <a:endParaRPr kumimoji="0" lang="en-US" sz="2400" b="0" i="0" u="none" strike="noStrike" kern="1200" cap="none" spc="0" normalizeH="0" baseline="0" noProof="0">
            <a:ln>
              <a:noFill/>
            </a:ln>
            <a:solidFill>
              <a:srgbClr val="0000CC"/>
            </a:solidFill>
            <a:effectLst/>
            <a:uLnTx/>
            <a:uFillTx/>
            <a:latin typeface="Arial" charset="0"/>
            <a:ea typeface="+mn-ea"/>
            <a:cs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15688</xdr:colOff>
      <xdr:row>20</xdr:row>
      <xdr:rowOff>33619</xdr:rowOff>
    </xdr:from>
    <xdr:to>
      <xdr:col>31</xdr:col>
      <xdr:colOff>77880</xdr:colOff>
      <xdr:row>41</xdr:row>
      <xdr:rowOff>123265</xdr:rowOff>
    </xdr:to>
    <xdr:sp macro="" textlink="">
      <xdr:nvSpPr>
        <xdr:cNvPr id="3" name="Content Placeholder 2">
          <a:extLst>
            <a:ext uri="{FF2B5EF4-FFF2-40B4-BE49-F238E27FC236}">
              <a16:creationId xmlns:a16="http://schemas.microsoft.com/office/drawing/2014/main" id="{00000000-0008-0000-0A00-000003000000}"/>
            </a:ext>
          </a:extLst>
        </xdr:cNvPr>
        <xdr:cNvSpPr txBox="1">
          <a:spLocks/>
        </xdr:cNvSpPr>
      </xdr:nvSpPr>
      <xdr:spPr>
        <a:xfrm>
          <a:off x="23010159" y="12886766"/>
          <a:ext cx="4735045" cy="4090146"/>
        </a:xfrm>
        <a:prstGeom prst="rect">
          <a:avLst/>
        </a:prstGeom>
        <a:ln>
          <a:solidFill>
            <a:schemeClr val="accent3">
              <a:lumMod val="75000"/>
            </a:schemeClr>
          </a:solidFill>
        </a:ln>
      </xdr:spPr>
      <xdr:txBody>
        <a:bodyPr wrap="square">
          <a:normAutofit/>
        </a:bodyPr>
        <a:lstStyle>
          <a:defPPr>
            <a:defRPr lang="en-US"/>
          </a:defPPr>
          <a:lvl1pPr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1pPr>
          <a:lvl2pPr marL="457200"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2pPr>
          <a:lvl3pPr marL="914400"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3pPr>
          <a:lvl4pPr marL="1371600"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4pPr>
          <a:lvl5pPr marL="1828800" algn="l" rtl="0" fontAlgn="base">
            <a:lnSpc>
              <a:spcPct val="80000"/>
            </a:lnSpc>
            <a:spcBef>
              <a:spcPct val="20000"/>
            </a:spcBef>
            <a:spcAft>
              <a:spcPct val="0"/>
            </a:spcAft>
            <a:buClr>
              <a:srgbClr val="0BD0D9"/>
            </a:buClr>
            <a:buSzPct val="95000"/>
            <a:defRPr sz="2000" kern="1200">
              <a:solidFill>
                <a:schemeClr val="tx1"/>
              </a:solidFill>
              <a:latin typeface="Calibri" pitchFamily="34" charset="0"/>
              <a:ea typeface="+mn-ea"/>
              <a:cs typeface="Arial" charset="0"/>
            </a:defRPr>
          </a:lvl5pPr>
          <a:lvl6pPr marL="2286000" algn="l" defTabSz="914400" rtl="0" eaLnBrk="1" latinLnBrk="0" hangingPunct="1">
            <a:defRPr sz="2000" kern="1200">
              <a:solidFill>
                <a:schemeClr val="tx1"/>
              </a:solidFill>
              <a:latin typeface="Calibri" pitchFamily="34" charset="0"/>
              <a:ea typeface="+mn-ea"/>
              <a:cs typeface="Arial" charset="0"/>
            </a:defRPr>
          </a:lvl6pPr>
          <a:lvl7pPr marL="2743200" algn="l" defTabSz="914400" rtl="0" eaLnBrk="1" latinLnBrk="0" hangingPunct="1">
            <a:defRPr sz="2000" kern="1200">
              <a:solidFill>
                <a:schemeClr val="tx1"/>
              </a:solidFill>
              <a:latin typeface="Calibri" pitchFamily="34" charset="0"/>
              <a:ea typeface="+mn-ea"/>
              <a:cs typeface="Arial" charset="0"/>
            </a:defRPr>
          </a:lvl7pPr>
          <a:lvl8pPr marL="3200400" algn="l" defTabSz="914400" rtl="0" eaLnBrk="1" latinLnBrk="0" hangingPunct="1">
            <a:defRPr sz="2000" kern="1200">
              <a:solidFill>
                <a:schemeClr val="tx1"/>
              </a:solidFill>
              <a:latin typeface="Calibri" pitchFamily="34" charset="0"/>
              <a:ea typeface="+mn-ea"/>
              <a:cs typeface="Arial" charset="0"/>
            </a:defRPr>
          </a:lvl8pPr>
          <a:lvl9pPr marL="3657600" algn="l" defTabSz="914400" rtl="0" eaLnBrk="1" latinLnBrk="0" hangingPunct="1">
            <a:defRPr sz="2000" kern="1200">
              <a:solidFill>
                <a:schemeClr val="tx1"/>
              </a:solidFill>
              <a:latin typeface="Calibri" pitchFamily="34" charset="0"/>
              <a:ea typeface="+mn-ea"/>
              <a:cs typeface="Arial" charset="0"/>
            </a:defRPr>
          </a:lvl9pPr>
        </a:lstStyle>
        <a:p>
          <a:r>
            <a:rPr lang="en-GB" sz="2400"/>
            <a:t>Savings will be based on </a:t>
          </a:r>
          <a:r>
            <a:rPr lang="en-GB" sz="2400" u="sng"/>
            <a:t>either </a:t>
          </a:r>
          <a:r>
            <a:rPr lang="en-GB" sz="2400"/>
            <a:t>option</a:t>
          </a:r>
        </a:p>
        <a:p>
          <a:r>
            <a:rPr lang="en-GB" sz="2400"/>
            <a:t>Option 1 – SS553: 2015 :  no baseline for &lt;4kW (no savings can be claimed.)</a:t>
          </a:r>
        </a:p>
        <a:p>
          <a:r>
            <a:rPr lang="en-GB" sz="2400"/>
            <a:t>Option 2 – SS553:2015: Input Power with allowable adjustment factor &gt; 4kW fans running</a:t>
          </a:r>
          <a:r>
            <a:rPr lang="en-GB" sz="2400" baseline="0"/>
            <a:t> at maximum design air flow</a:t>
          </a:r>
          <a:endParaRPr lang="en-GB" sz="2400"/>
        </a:p>
        <a:p>
          <a:pPr marL="273050" indent="-273050"/>
          <a:endParaRPr lang="en-US" sz="2600"/>
        </a:p>
        <a:p>
          <a:pPr marL="273050" lvl="0" indent="-273050"/>
          <a:endParaRPr lang="en-GB" sz="2800">
            <a:solidFill>
              <a:schemeClr val="dk1"/>
            </a:solidFill>
            <a:latin typeface="Times New Roman" pitchFamily="18" charset="0"/>
            <a:cs typeface="Times New Roman" pitchFamily="18" charset="0"/>
          </a:endParaRPr>
        </a:p>
        <a:p>
          <a:pPr marL="273050" indent="-273050"/>
          <a:endParaRPr lang="en-US" sz="2600"/>
        </a:p>
        <a:p>
          <a:pPr marL="273050" indent="-273050"/>
          <a:r>
            <a:rPr lang="en-US" sz="2400"/>
            <a:t>	</a:t>
          </a:r>
        </a:p>
        <a:p>
          <a:pPr marL="273050" indent="-273050"/>
          <a:endParaRPr lang="en-US" sz="2400"/>
        </a:p>
        <a:p>
          <a:pPr marL="273050" indent="-273050"/>
          <a:endParaRPr lang="en-US" sz="1600"/>
        </a:p>
        <a:p>
          <a:pPr marL="273050" indent="-273050"/>
          <a:endParaRPr lang="en-US" sz="1600"/>
        </a:p>
        <a:p>
          <a:pPr marL="273050" indent="-273050"/>
          <a:endParaRPr lang="en-US" sz="1600"/>
        </a:p>
        <a:p>
          <a:pPr marL="273050" indent="-273050">
            <a:buFont typeface="Wingdings 2" pitchFamily="18" charset="2"/>
            <a:buChar char=""/>
          </a:pPr>
          <a:endParaRPr lang="en-US" sz="2400">
            <a:solidFill>
              <a:srgbClr val="0000CC"/>
            </a:solidFill>
            <a:latin typeface="Arial"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ca.gov.sg/GreenMark/others/BCA_Energy_Performance_Points_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Tracking"/>
      <sheetName val="Guidance Notes"/>
      <sheetName val="Notes for kWadj"/>
      <sheetName val="Building Data schedule"/>
      <sheetName val=" ACMV 2.1a"/>
      <sheetName val="Lighting Power Budget 2.1b"/>
      <sheetName val="Car Park 2.1c"/>
      <sheetName val="Receptacle Load 2.1d"/>
      <sheetName val="Building Energy 2.1e"/>
      <sheetName val="Renewable Energy 2.2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 val=" ACMV 2.01a"/>
      <sheetName val="Lighting Power Budget 2.01b"/>
      <sheetName val="Car Park 2.01c"/>
      <sheetName val="Receptacle Load 2.01d"/>
      <sheetName val="Building Energy 2.02a"/>
      <sheetName val="Renewable Energy 2.03c"/>
    </sheetNames>
    <sheetDataSet>
      <sheetData sheetId="0">
        <row r="24">
          <cell r="C24" t="str">
            <v>Energy Spreadsheet_ GM2015_R3.03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ca.gov.sg/GreenMark/others/BCA_Energy_Performance_Points_Calculator.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4:G40"/>
  <sheetViews>
    <sheetView tabSelected="1" topLeftCell="A22" zoomScaleNormal="100" workbookViewId="0">
      <selection activeCell="B44" sqref="B44"/>
    </sheetView>
  </sheetViews>
  <sheetFormatPr defaultRowHeight="15" x14ac:dyDescent="0.25"/>
  <cols>
    <col min="1" max="1" width="7.28515625" customWidth="1"/>
    <col min="2" max="2" width="39.28515625" customWidth="1"/>
    <col min="3" max="3" width="52.7109375" customWidth="1"/>
    <col min="4" max="4" width="31.140625" customWidth="1"/>
    <col min="5" max="5" width="47.85546875" customWidth="1"/>
  </cols>
  <sheetData>
    <row r="24" spans="1:5" s="628" customFormat="1" x14ac:dyDescent="0.25">
      <c r="B24" s="821" t="s">
        <v>825</v>
      </c>
      <c r="C24" s="822" t="s">
        <v>907</v>
      </c>
    </row>
    <row r="25" spans="1:5" x14ac:dyDescent="0.25">
      <c r="B25" t="str">
        <f>IFERROR(IF(C24='[1]Revision Tracking'!$C$24,"You are using the latest version of the calculator","The latest version of the calculator is available for download, pls download online"),"Please connect to internet")</f>
        <v>The latest version of the calculator is available for download, pls download online</v>
      </c>
      <c r="D25" s="820" t="str">
        <f>IF(B25="The latest version of the calculator is available for download, pls download online","Download here","")</f>
        <v>Download here</v>
      </c>
    </row>
    <row r="26" spans="1:5" ht="15.75" thickBot="1" x14ac:dyDescent="0.3">
      <c r="A26" s="30" t="s">
        <v>489</v>
      </c>
      <c r="B26" s="30"/>
    </row>
    <row r="27" spans="1:5" ht="15.75" thickBot="1" x14ac:dyDescent="0.3">
      <c r="A27" s="480" t="s">
        <v>490</v>
      </c>
      <c r="B27" s="481" t="s">
        <v>492</v>
      </c>
      <c r="C27" s="481" t="s">
        <v>496</v>
      </c>
      <c r="D27" s="481" t="s">
        <v>491</v>
      </c>
      <c r="E27" s="614"/>
    </row>
    <row r="28" spans="1:5" ht="15.75" thickBot="1" x14ac:dyDescent="0.3">
      <c r="A28" s="482">
        <v>1</v>
      </c>
      <c r="B28" s="483" t="s">
        <v>493</v>
      </c>
      <c r="C28" s="483" t="s">
        <v>591</v>
      </c>
      <c r="D28" s="484" t="s">
        <v>495</v>
      </c>
    </row>
    <row r="29" spans="1:5" ht="15.75" thickBot="1" x14ac:dyDescent="0.3">
      <c r="A29" s="482">
        <v>2</v>
      </c>
      <c r="B29" s="654" t="s">
        <v>494</v>
      </c>
      <c r="C29" s="483" t="s">
        <v>669</v>
      </c>
      <c r="D29" s="653" t="s">
        <v>668</v>
      </c>
    </row>
    <row r="30" spans="1:5" ht="45.75" thickBot="1" x14ac:dyDescent="0.3">
      <c r="A30" s="482">
        <v>3</v>
      </c>
      <c r="B30" s="654" t="s">
        <v>770</v>
      </c>
      <c r="C30" s="483" t="s">
        <v>771</v>
      </c>
      <c r="D30" s="653" t="s">
        <v>772</v>
      </c>
    </row>
    <row r="31" spans="1:5" ht="15.75" thickBot="1" x14ac:dyDescent="0.3">
      <c r="A31" s="482">
        <v>4</v>
      </c>
      <c r="B31" s="654" t="s">
        <v>789</v>
      </c>
      <c r="C31" s="483" t="s">
        <v>792</v>
      </c>
      <c r="D31" s="788" t="s">
        <v>793</v>
      </c>
    </row>
    <row r="32" spans="1:5" ht="45.75" thickBot="1" x14ac:dyDescent="0.3">
      <c r="A32" s="482">
        <v>5</v>
      </c>
      <c r="B32" s="654" t="s">
        <v>795</v>
      </c>
      <c r="C32" s="483" t="s">
        <v>796</v>
      </c>
      <c r="D32" s="788" t="s">
        <v>794</v>
      </c>
    </row>
    <row r="33" spans="1:7" ht="45.75" thickBot="1" x14ac:dyDescent="0.3">
      <c r="A33" s="482">
        <v>6</v>
      </c>
      <c r="B33" s="654" t="s">
        <v>797</v>
      </c>
      <c r="C33" s="483" t="s">
        <v>798</v>
      </c>
      <c r="D33" s="484" t="s">
        <v>799</v>
      </c>
    </row>
    <row r="34" spans="1:7" ht="30.75" thickBot="1" x14ac:dyDescent="0.3">
      <c r="A34" s="482">
        <v>7</v>
      </c>
      <c r="B34" s="654" t="s">
        <v>800</v>
      </c>
      <c r="C34" s="483" t="s">
        <v>801</v>
      </c>
      <c r="D34" s="484" t="s">
        <v>823</v>
      </c>
    </row>
    <row r="35" spans="1:7" ht="30.75" thickBot="1" x14ac:dyDescent="0.3">
      <c r="A35" s="819">
        <v>8</v>
      </c>
      <c r="B35" s="654" t="s">
        <v>824</v>
      </c>
      <c r="C35" s="654" t="s">
        <v>801</v>
      </c>
      <c r="D35" s="653" t="s">
        <v>827</v>
      </c>
    </row>
    <row r="36" spans="1:7" ht="30.75" thickBot="1" x14ac:dyDescent="0.3">
      <c r="A36" s="482">
        <v>9</v>
      </c>
      <c r="B36" s="654" t="s">
        <v>828</v>
      </c>
      <c r="C36" s="654" t="s">
        <v>801</v>
      </c>
      <c r="D36" s="653" t="s">
        <v>829</v>
      </c>
    </row>
    <row r="37" spans="1:7" ht="30.75" thickBot="1" x14ac:dyDescent="0.3">
      <c r="A37" s="482">
        <v>10</v>
      </c>
      <c r="B37" s="654" t="s">
        <v>830</v>
      </c>
      <c r="C37" s="654" t="s">
        <v>801</v>
      </c>
      <c r="D37" s="653" t="s">
        <v>831</v>
      </c>
    </row>
    <row r="38" spans="1:7" s="628" customFormat="1" ht="30.75" thickBot="1" x14ac:dyDescent="0.3">
      <c r="A38" s="482">
        <v>11</v>
      </c>
      <c r="B38" s="654" t="s">
        <v>832</v>
      </c>
      <c r="C38" s="654" t="s">
        <v>833</v>
      </c>
      <c r="D38" s="653" t="s">
        <v>899</v>
      </c>
    </row>
    <row r="39" spans="1:7" ht="30.75" thickBot="1" x14ac:dyDescent="0.3">
      <c r="A39" s="482">
        <v>12</v>
      </c>
      <c r="B39" s="654" t="s">
        <v>907</v>
      </c>
      <c r="C39" s="654" t="s">
        <v>908</v>
      </c>
      <c r="D39" s="653" t="s">
        <v>922</v>
      </c>
    </row>
    <row r="40" spans="1:7" x14ac:dyDescent="0.25">
      <c r="G40" t="s">
        <v>826</v>
      </c>
    </row>
  </sheetData>
  <sheetProtection formatCells="0"/>
  <dataConsolidate/>
  <hyperlinks>
    <hyperlink ref="D25" r:id="rId1" display="https://www.bca.gov.sg/GreenMark/others/BCA_Energy_Performance_Points_Calculator.xlsx"/>
  </hyperlinks>
  <pageMargins left="0.7" right="0.7" top="0.75" bottom="0.75" header="0.3" footer="0.3"/>
  <pageSetup paperSize="9" scale="6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H36"/>
  <sheetViews>
    <sheetView zoomScaleNormal="100" zoomScaleSheetLayoutView="85" workbookViewId="0">
      <selection activeCell="C11" sqref="C11"/>
    </sheetView>
  </sheetViews>
  <sheetFormatPr defaultRowHeight="15" x14ac:dyDescent="0.25"/>
  <cols>
    <col min="2" max="2" width="28.42578125" bestFit="1" customWidth="1"/>
    <col min="3" max="3" width="18.140625" bestFit="1" customWidth="1"/>
    <col min="4" max="4" width="23.5703125" customWidth="1"/>
    <col min="5" max="5" width="78.140625" bestFit="1" customWidth="1"/>
    <col min="6" max="6" width="34" customWidth="1"/>
  </cols>
  <sheetData>
    <row r="1" spans="1:8" s="20" customFormat="1" ht="16.5" thickBot="1" x14ac:dyDescent="0.3">
      <c r="A1" s="20" t="s">
        <v>846</v>
      </c>
      <c r="G1" s="85"/>
    </row>
    <row r="2" spans="1:8" ht="15.75" thickBot="1" x14ac:dyDescent="0.3">
      <c r="B2" s="272"/>
      <c r="C2" s="273"/>
      <c r="D2" s="273"/>
      <c r="E2" s="273"/>
      <c r="F2" s="274"/>
      <c r="G2" s="83"/>
    </row>
    <row r="3" spans="1:8" ht="30.75" thickBot="1" x14ac:dyDescent="0.3">
      <c r="B3" s="138" t="s">
        <v>427</v>
      </c>
      <c r="C3" s="138" t="s">
        <v>428</v>
      </c>
      <c r="D3" s="139" t="s">
        <v>429</v>
      </c>
      <c r="E3" s="139" t="s">
        <v>856</v>
      </c>
      <c r="F3" s="139" t="s">
        <v>430</v>
      </c>
      <c r="G3" s="83"/>
    </row>
    <row r="4" spans="1:8" x14ac:dyDescent="0.25">
      <c r="B4" s="319" t="s">
        <v>656</v>
      </c>
      <c r="C4" s="319"/>
      <c r="D4" s="319"/>
      <c r="E4" s="847">
        <f>D4*1200</f>
        <v>0</v>
      </c>
      <c r="F4" s="298"/>
      <c r="G4" s="83"/>
      <c r="H4" s="612" t="s">
        <v>848</v>
      </c>
    </row>
    <row r="5" spans="1:8" x14ac:dyDescent="0.25">
      <c r="B5" s="311" t="s">
        <v>657</v>
      </c>
      <c r="C5" s="311"/>
      <c r="D5" s="311"/>
      <c r="E5" s="847">
        <f>D5*1200</f>
        <v>0</v>
      </c>
      <c r="F5" s="300"/>
      <c r="G5" s="83"/>
      <c r="H5" s="612" t="s">
        <v>849</v>
      </c>
    </row>
    <row r="6" spans="1:8" ht="15.75" thickBot="1" x14ac:dyDescent="0.3">
      <c r="B6" s="320"/>
      <c r="C6" s="320"/>
      <c r="D6" s="320"/>
      <c r="E6" s="847">
        <f>D6*1200</f>
        <v>0</v>
      </c>
      <c r="F6" s="310"/>
      <c r="G6" s="83"/>
    </row>
    <row r="7" spans="1:8" ht="15.75" thickBot="1" x14ac:dyDescent="0.3">
      <c r="B7" s="275" t="s">
        <v>219</v>
      </c>
      <c r="C7" s="252"/>
      <c r="D7" s="472">
        <f>SUM(D4:D6)</f>
        <v>0</v>
      </c>
      <c r="E7" s="847">
        <f>SUM(E4:E6)</f>
        <v>0</v>
      </c>
      <c r="F7" s="271"/>
      <c r="G7" s="83"/>
    </row>
    <row r="8" spans="1:8" ht="15.75" thickBot="1" x14ac:dyDescent="0.3">
      <c r="G8" s="83"/>
    </row>
    <row r="9" spans="1:8" ht="15.75" thickBot="1" x14ac:dyDescent="0.3">
      <c r="B9" s="64" t="s">
        <v>431</v>
      </c>
      <c r="C9" s="473" t="e">
        <f>E7/(C10*C12)</f>
        <v>#DIV/0!</v>
      </c>
      <c r="G9" s="83"/>
      <c r="H9" s="251"/>
    </row>
    <row r="10" spans="1:8" ht="18" thickBot="1" x14ac:dyDescent="0.3">
      <c r="B10" s="64" t="s">
        <v>858</v>
      </c>
      <c r="C10" s="319"/>
      <c r="D10" t="s">
        <v>483</v>
      </c>
      <c r="G10" s="83"/>
      <c r="H10" s="251"/>
    </row>
    <row r="11" spans="1:8" s="628" customFormat="1" ht="15.75" thickBot="1" x14ac:dyDescent="0.3">
      <c r="B11" s="64" t="s">
        <v>848</v>
      </c>
      <c r="C11" s="836">
        <f>'Building Data schedule'!C14</f>
        <v>55</v>
      </c>
      <c r="G11" s="83"/>
      <c r="H11" s="251"/>
    </row>
    <row r="12" spans="1:8" s="628" customFormat="1" ht="15.75" thickBot="1" x14ac:dyDescent="0.3">
      <c r="B12" s="64" t="s">
        <v>850</v>
      </c>
      <c r="C12" s="835">
        <f>'Building Data schedule'!H14</f>
        <v>0</v>
      </c>
      <c r="E12" s="628">
        <f>'Building Data schedule'!H14</f>
        <v>0</v>
      </c>
      <c r="G12" s="83"/>
      <c r="H12" s="251"/>
    </row>
    <row r="13" spans="1:8" ht="15.75" thickBot="1" x14ac:dyDescent="0.3">
      <c r="B13" s="64" t="s">
        <v>854</v>
      </c>
      <c r="C13" s="474">
        <f>SUM(C17:C19)</f>
        <v>0</v>
      </c>
      <c r="G13" s="83"/>
    </row>
    <row r="14" spans="1:8" ht="15.75" thickBot="1" x14ac:dyDescent="0.3">
      <c r="B14" s="64" t="s">
        <v>855</v>
      </c>
      <c r="C14" s="474">
        <f>SUM(C24:C26)</f>
        <v>0</v>
      </c>
      <c r="G14" s="83"/>
    </row>
    <row r="15" spans="1:8" ht="15.75" thickBot="1" x14ac:dyDescent="0.3">
      <c r="G15" s="83"/>
    </row>
    <row r="16" spans="1:8" ht="18" thickBot="1" x14ac:dyDescent="0.3">
      <c r="B16" s="833" t="s">
        <v>857</v>
      </c>
      <c r="C16" s="834" t="s">
        <v>478</v>
      </c>
      <c r="D16" s="628"/>
      <c r="G16" s="83"/>
    </row>
    <row r="17" spans="1:7" x14ac:dyDescent="0.25">
      <c r="B17" s="837" t="s">
        <v>851</v>
      </c>
      <c r="C17" s="838" t="str">
        <f>IFERROR(IF(C10&gt;220,MIN(C9/0.5%,6),"NA"),"")</f>
        <v>NA</v>
      </c>
      <c r="D17" s="628"/>
      <c r="G17" s="83"/>
    </row>
    <row r="18" spans="1:7" x14ac:dyDescent="0.25">
      <c r="B18" s="832" t="s">
        <v>852</v>
      </c>
      <c r="C18" s="839" t="str">
        <f>IFERROR(IF(AND(C10&gt;=50,C10&lt;220),MIN(C9/1.25%,6),"NA"),"")</f>
        <v>NA</v>
      </c>
      <c r="D18" s="628"/>
      <c r="G18" s="83"/>
    </row>
    <row r="19" spans="1:7" ht="15.75" thickBot="1" x14ac:dyDescent="0.3">
      <c r="B19" s="827" t="s">
        <v>853</v>
      </c>
      <c r="C19" s="840" t="str">
        <f>IFERROR(IF(AND(C10&lt;50,C10&gt;0),MIN(C9/0.5%,6),"NA"),"")</f>
        <v>NA</v>
      </c>
      <c r="D19" s="628"/>
      <c r="G19" s="83"/>
    </row>
    <row r="20" spans="1:7" x14ac:dyDescent="0.25">
      <c r="G20" s="83"/>
    </row>
    <row r="21" spans="1:7" s="20" customFormat="1" ht="15.75" x14ac:dyDescent="0.25">
      <c r="A21" s="20" t="s">
        <v>847</v>
      </c>
      <c r="G21" s="85"/>
    </row>
    <row r="22" spans="1:7" ht="15.75" thickBot="1" x14ac:dyDescent="0.3">
      <c r="G22" s="83"/>
    </row>
    <row r="23" spans="1:7" ht="18" thickBot="1" x14ac:dyDescent="0.3">
      <c r="B23" s="833" t="s">
        <v>857</v>
      </c>
      <c r="C23" s="848" t="s">
        <v>478</v>
      </c>
      <c r="D23" s="628"/>
      <c r="G23" s="83"/>
    </row>
    <row r="24" spans="1:7" x14ac:dyDescent="0.25">
      <c r="B24" s="841" t="s">
        <v>851</v>
      </c>
      <c r="C24" s="844" t="str">
        <f>IFERROR(IF(C10&gt;220,MIN(MAX(0,C9/0.5%-6),5),"NA"),"")</f>
        <v>NA</v>
      </c>
      <c r="D24" s="628"/>
      <c r="G24" s="83"/>
    </row>
    <row r="25" spans="1:7" x14ac:dyDescent="0.25">
      <c r="B25" s="842" t="s">
        <v>852</v>
      </c>
      <c r="C25" s="845" t="str">
        <f>IFERROR(IF(AND(C10&gt;=50,C10&lt;220),MIN(MAX(0,C9/1.25%-6),5),"NA"),"")</f>
        <v>NA</v>
      </c>
      <c r="D25" s="628"/>
      <c r="G25" s="83"/>
    </row>
    <row r="26" spans="1:7" ht="15.75" thickBot="1" x14ac:dyDescent="0.3">
      <c r="B26" s="843" t="s">
        <v>853</v>
      </c>
      <c r="C26" s="846" t="str">
        <f>IFERROR(IF(AND(C10&lt;50,C10&gt;0),MIN(MAX(0,C9/0.5%-6),5),"NA"),"")</f>
        <v>NA</v>
      </c>
      <c r="D26" s="628"/>
      <c r="G26" s="83"/>
    </row>
    <row r="27" spans="1:7" x14ac:dyDescent="0.25">
      <c r="C27" s="628"/>
      <c r="G27" s="83"/>
    </row>
    <row r="28" spans="1:7" s="20" customFormat="1" ht="15.75" hidden="1" x14ac:dyDescent="0.25">
      <c r="A28" s="20" t="s">
        <v>898</v>
      </c>
      <c r="C28" s="628"/>
      <c r="G28" s="85"/>
    </row>
    <row r="29" spans="1:7" hidden="1" x14ac:dyDescent="0.25">
      <c r="C29" s="628"/>
      <c r="G29" s="83"/>
    </row>
    <row r="30" spans="1:7" ht="15.75" hidden="1" thickBot="1" x14ac:dyDescent="0.3">
      <c r="B30" s="291" t="s">
        <v>485</v>
      </c>
      <c r="C30" s="628"/>
      <c r="D30" s="292" t="s">
        <v>484</v>
      </c>
      <c r="F30" s="83"/>
    </row>
    <row r="31" spans="1:7" hidden="1" x14ac:dyDescent="0.25">
      <c r="B31" s="411">
        <v>0.6</v>
      </c>
      <c r="C31" s="628"/>
      <c r="D31" s="475" t="e">
        <f>IF(AND($C$9&lt;B32,$C$9&gt;=B31),"This is the Advanced Green Efforts score for 2.2(c) - For Low to Zero Energy Building","N.A.")</f>
        <v>#DIV/0!</v>
      </c>
      <c r="F31" s="83"/>
    </row>
    <row r="32" spans="1:7" hidden="1" x14ac:dyDescent="0.25">
      <c r="B32" s="412">
        <v>0.7</v>
      </c>
      <c r="C32" s="628"/>
      <c r="D32" s="475" t="e">
        <f>IF(AND($C$9&lt;B33,$C$9&gt;=B32),"This is the Advanced Green Efforts score for 2.2(c) - For Low to Zero Energy Building","N.A.")</f>
        <v>#DIV/0!</v>
      </c>
      <c r="F32" s="83"/>
    </row>
    <row r="33" spans="2:6" hidden="1" x14ac:dyDescent="0.25">
      <c r="B33" s="412">
        <v>0.8</v>
      </c>
      <c r="C33" s="628"/>
      <c r="D33" s="475" t="e">
        <f>IF(AND($C$9&lt;B34,$C$9&gt;=B33),"This is the Advanced Green Efforts score for 2.2(c) - For Low to Zero Energy Building","N.A.")</f>
        <v>#DIV/0!</v>
      </c>
      <c r="F33" s="83"/>
    </row>
    <row r="34" spans="2:6" hidden="1" x14ac:dyDescent="0.25">
      <c r="B34" s="412">
        <v>0.9</v>
      </c>
      <c r="C34" s="628"/>
      <c r="D34" s="475" t="e">
        <f>IF(AND($C$9&lt;B35,$C$9&gt;=B34),"This is the Advanced Green Efforts score for 2.2(c) - For Low to Zero Energy Building","N.A.")</f>
        <v>#DIV/0!</v>
      </c>
      <c r="F34" s="83"/>
    </row>
    <row r="35" spans="2:6" ht="15.75" hidden="1" thickBot="1" x14ac:dyDescent="0.3">
      <c r="B35" s="413">
        <v>1</v>
      </c>
      <c r="C35" s="628"/>
      <c r="D35" s="476" t="e">
        <f>IF(OR($C$9=B35,$C$9&gt;B35),"This is the Advanced Green Efforts score for 2.2(c) - For Low to Zero Energy Building","N.A.")</f>
        <v>#DIV/0!</v>
      </c>
      <c r="F35" s="83"/>
    </row>
    <row r="36" spans="2:6" x14ac:dyDescent="0.25">
      <c r="C36" s="628"/>
    </row>
  </sheetData>
  <sheetProtection algorithmName="SHA-512" hashValue="Tb0kaLCUZTq5hNiEvoVqe3RsBa4ctAhtz9TwxCH0QponTmG8AZbDGZNwc6nXk1+ejEh/Ku/w/9AKKnx2e32p1w==" saltValue="0tGzxH+r+u7eAOlHcM6lHQ==" spinCount="100000" sheet="1" selectLockedCells="1"/>
  <dataValidations disablePrompts="1" count="1">
    <dataValidation type="list" allowBlank="1" showInputMessage="1" showErrorMessage="1" sqref="B11">
      <formula1>$H$4:$H$5</formula1>
    </dataValidation>
  </dataValidations>
  <pageMargins left="0.7" right="0.7" top="0.75" bottom="0.75" header="0.3" footer="0.3"/>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C000"/>
  </sheetPr>
  <dimension ref="A1:AF218"/>
  <sheetViews>
    <sheetView zoomScale="85" zoomScaleNormal="85" workbookViewId="0">
      <pane ySplit="6" topLeftCell="A118" activePane="bottomLeft" state="frozen"/>
      <selection activeCell="I52" sqref="I52"/>
      <selection pane="bottomLeft" activeCell="B8" sqref="B8"/>
    </sheetView>
  </sheetViews>
  <sheetFormatPr defaultRowHeight="15" x14ac:dyDescent="0.25"/>
  <cols>
    <col min="2" max="2" width="40" bestFit="1" customWidth="1"/>
    <col min="3" max="3" width="16.28515625" customWidth="1"/>
    <col min="4" max="4" width="13.28515625" customWidth="1"/>
    <col min="5" max="5" width="19.5703125" bestFit="1" customWidth="1"/>
    <col min="6" max="6" width="12.7109375" customWidth="1"/>
    <col min="7" max="7" width="13.85546875" customWidth="1"/>
    <col min="8" max="8" width="13.7109375" customWidth="1"/>
    <col min="9" max="9" width="13.7109375" style="628" customWidth="1"/>
    <col min="10" max="10" width="15.140625" customWidth="1"/>
    <col min="11" max="11" width="12.85546875" customWidth="1"/>
    <col min="12" max="12" width="12.5703125" customWidth="1"/>
    <col min="13" max="13" width="15.7109375" style="628" customWidth="1"/>
    <col min="14" max="14" width="12.5703125" style="628" customWidth="1"/>
    <col min="15" max="15" width="12.5703125" customWidth="1"/>
    <col min="16" max="16" width="12.5703125" style="628" customWidth="1"/>
    <col min="17" max="17" width="15" customWidth="1"/>
    <col min="18" max="18" width="14.140625" customWidth="1"/>
    <col min="19" max="19" width="14.140625" style="628" customWidth="1"/>
    <col min="20" max="20" width="18.42578125" customWidth="1"/>
    <col min="21" max="21" width="18.42578125" style="628" customWidth="1"/>
    <col min="22" max="22" width="18.42578125" customWidth="1"/>
    <col min="23" max="23" width="14.140625" customWidth="1"/>
    <col min="24" max="25" width="14.140625" style="628" customWidth="1"/>
    <col min="26" max="26" width="38.85546875" style="628" customWidth="1"/>
    <col min="27" max="27" width="18.42578125" customWidth="1"/>
    <col min="29" max="29" width="19.140625" customWidth="1"/>
    <col min="30" max="30" width="29.42578125" customWidth="1"/>
    <col min="31" max="31" width="21.5703125" customWidth="1"/>
    <col min="32" max="32" width="18.140625" customWidth="1"/>
  </cols>
  <sheetData>
    <row r="1" spans="1:32" s="20" customFormat="1" ht="15.75" x14ac:dyDescent="0.25">
      <c r="A1" s="20" t="s">
        <v>4</v>
      </c>
    </row>
    <row r="2" spans="1:32" s="63" customFormat="1" ht="15.75" x14ac:dyDescent="0.25"/>
    <row r="3" spans="1:32" s="63" customFormat="1" ht="15.75" x14ac:dyDescent="0.25">
      <c r="B3" s="80" t="s">
        <v>393</v>
      </c>
      <c r="E3" s="407" t="s">
        <v>698</v>
      </c>
    </row>
    <row r="4" spans="1:32" s="63" customFormat="1" ht="16.5" thickBot="1" x14ac:dyDescent="0.3"/>
    <row r="5" spans="1:32" ht="15.75" thickBot="1" x14ac:dyDescent="0.3">
      <c r="B5" s="31" t="s">
        <v>77</v>
      </c>
      <c r="H5" s="704"/>
      <c r="O5" s="1089" t="str">
        <f>AD5</f>
        <v>Option 1 - Nameplate Power</v>
      </c>
      <c r="P5" s="1090"/>
      <c r="Q5" s="1090"/>
      <c r="R5" s="1090"/>
      <c r="S5" s="1091"/>
      <c r="T5" s="1089" t="str">
        <f>AE5</f>
        <v>Option 2 - Input Power</v>
      </c>
      <c r="U5" s="1090"/>
      <c r="V5" s="1090"/>
      <c r="W5" s="1090"/>
      <c r="X5" s="1090"/>
      <c r="Y5" s="1091"/>
      <c r="Z5" s="671"/>
      <c r="AC5" s="229"/>
      <c r="AD5" s="672" t="s">
        <v>699</v>
      </c>
      <c r="AE5" s="674" t="s">
        <v>698</v>
      </c>
      <c r="AF5" s="675"/>
    </row>
    <row r="6" spans="1:32" ht="75.75" thickBot="1" x14ac:dyDescent="0.3">
      <c r="B6" s="9" t="s">
        <v>55</v>
      </c>
      <c r="C6" s="44" t="s">
        <v>78</v>
      </c>
      <c r="D6" s="10" t="s">
        <v>358</v>
      </c>
      <c r="E6" s="10" t="s">
        <v>86</v>
      </c>
      <c r="F6" s="10" t="s">
        <v>73</v>
      </c>
      <c r="G6" s="10" t="s">
        <v>74</v>
      </c>
      <c r="H6" s="10" t="s">
        <v>75</v>
      </c>
      <c r="I6" s="707" t="s">
        <v>737</v>
      </c>
      <c r="J6" s="42" t="s">
        <v>76</v>
      </c>
      <c r="K6" s="9" t="s">
        <v>389</v>
      </c>
      <c r="L6" s="10" t="s">
        <v>291</v>
      </c>
      <c r="M6" s="681" t="s">
        <v>869</v>
      </c>
      <c r="N6" s="913" t="s">
        <v>865</v>
      </c>
      <c r="O6" s="9" t="s">
        <v>392</v>
      </c>
      <c r="P6" s="10" t="s">
        <v>867</v>
      </c>
      <c r="Q6" s="10" t="s">
        <v>359</v>
      </c>
      <c r="R6" s="10" t="s">
        <v>391</v>
      </c>
      <c r="S6" s="11" t="s">
        <v>868</v>
      </c>
      <c r="T6" s="127" t="s">
        <v>392</v>
      </c>
      <c r="U6" s="824" t="s">
        <v>867</v>
      </c>
      <c r="V6" s="824" t="s">
        <v>359</v>
      </c>
      <c r="W6" s="824" t="s">
        <v>360</v>
      </c>
      <c r="X6" s="824" t="s">
        <v>868</v>
      </c>
      <c r="Y6" s="130" t="s">
        <v>707</v>
      </c>
      <c r="Z6" s="913" t="s">
        <v>302</v>
      </c>
      <c r="AC6" s="228" t="s">
        <v>702</v>
      </c>
      <c r="AD6" s="673" t="s">
        <v>647</v>
      </c>
      <c r="AE6" s="1096" t="s">
        <v>703</v>
      </c>
      <c r="AF6" s="1097"/>
    </row>
    <row r="7" spans="1:32" ht="30" x14ac:dyDescent="0.25">
      <c r="B7" s="338" t="s">
        <v>920</v>
      </c>
      <c r="C7" s="650" t="s">
        <v>921</v>
      </c>
      <c r="D7" s="339"/>
      <c r="E7" s="340"/>
      <c r="F7" s="340"/>
      <c r="G7" s="326"/>
      <c r="H7" s="276">
        <f>E7*F7*G7</f>
        <v>0</v>
      </c>
      <c r="I7" s="340"/>
      <c r="J7" s="340"/>
      <c r="K7" s="326"/>
      <c r="L7" s="326"/>
      <c r="M7" s="326"/>
      <c r="N7" s="917" t="str">
        <f>IF(I7="","NA",IF(M7="",'Building Data schedule'!$C$14,M7))</f>
        <v>NA</v>
      </c>
      <c r="O7" s="687">
        <f>IF(I7=0,0,K7/I7)</f>
        <v>0</v>
      </c>
      <c r="P7" s="911" t="str">
        <f>IFERROR(K7*N7*52/1000,"")</f>
        <v/>
      </c>
      <c r="Q7" s="680">
        <f>IF(K7&lt;4000,O7,$AD$7)</f>
        <v>0</v>
      </c>
      <c r="R7" s="688">
        <f t="shared" ref="R7" si="0">Q7*H7</f>
        <v>0</v>
      </c>
      <c r="S7" s="915" t="str">
        <f>IFERROR(R7*N7*52/1000,"")</f>
        <v/>
      </c>
      <c r="T7" s="708">
        <f>IF(I7=0,0,L7/I7)</f>
        <v>0</v>
      </c>
      <c r="U7" s="900" t="str">
        <f>IFERROR(L7*N7*52/1000,"")</f>
        <v/>
      </c>
      <c r="V7" s="697">
        <f>IF(K7&lt;4000,IF(T7&lt;$AE$8,$AE$8,T7),($AE$7+Y7/2340))</f>
        <v>0.17</v>
      </c>
      <c r="W7" s="697">
        <f t="shared" ref="W7" si="1">V7*H7</f>
        <v>0</v>
      </c>
      <c r="X7" s="697" t="str">
        <f>IFERROR(W7*N7*52/1000,"")</f>
        <v/>
      </c>
      <c r="Y7" s="698"/>
      <c r="Z7" s="694"/>
      <c r="AB7" s="525"/>
      <c r="AC7" s="26" t="s">
        <v>701</v>
      </c>
      <c r="AD7" s="43">
        <v>0.35</v>
      </c>
      <c r="AE7" s="676">
        <v>0.3</v>
      </c>
      <c r="AF7" s="677" t="s">
        <v>706</v>
      </c>
    </row>
    <row r="8" spans="1:32" ht="30.75" thickBot="1" x14ac:dyDescent="0.3">
      <c r="B8" s="341"/>
      <c r="C8" s="321"/>
      <c r="D8" s="342"/>
      <c r="E8" s="326"/>
      <c r="F8" s="326"/>
      <c r="G8" s="326"/>
      <c r="H8" s="277">
        <f t="shared" ref="H8:H56" si="2">E8*F8*G8</f>
        <v>0</v>
      </c>
      <c r="I8" s="326"/>
      <c r="J8" s="326"/>
      <c r="K8" s="326"/>
      <c r="L8" s="326"/>
      <c r="M8" s="909"/>
      <c r="N8" s="759" t="str">
        <f>IF(I8="","NA",IF(M8="",'Building Data schedule'!$C$14,M8))</f>
        <v>NA</v>
      </c>
      <c r="O8" s="684">
        <f t="shared" ref="O8:O71" si="3">IF(I8=0,0,K8/I8)</f>
        <v>0</v>
      </c>
      <c r="P8" s="911" t="str">
        <f t="shared" ref="P8:P71" si="4">IFERROR(K8*N8*52/1000,"")</f>
        <v/>
      </c>
      <c r="Q8" s="910">
        <f t="shared" ref="Q8:Q71" si="5">IF(K8&lt;4000,O8,$AD$7)</f>
        <v>0</v>
      </c>
      <c r="R8" s="683">
        <f t="shared" ref="R8:R71" si="6">Q8*H8</f>
        <v>0</v>
      </c>
      <c r="S8" s="897" t="str">
        <f t="shared" ref="S8:S71" si="7">IFERROR(R8*N8*52/1000,"")</f>
        <v/>
      </c>
      <c r="T8" s="709">
        <f t="shared" ref="T8:T71" si="8">IF(I8=0,0,L8/I8)</f>
        <v>0</v>
      </c>
      <c r="U8" s="893" t="str">
        <f t="shared" ref="U8:U71" si="9">IFERROR(L8*N8*52/1000,"")</f>
        <v/>
      </c>
      <c r="V8" s="683">
        <f t="shared" ref="V8:V71" si="10">IF(K8&lt;4000,IF(T8&lt;$AE$8,$AE$8,T8),($AE$7+Y8/2340))</f>
        <v>0.17</v>
      </c>
      <c r="W8" s="683">
        <f t="shared" ref="W8:W71" si="11">V8*H8</f>
        <v>0</v>
      </c>
      <c r="X8" s="683" t="str">
        <f t="shared" ref="X8:X71" si="12">IFERROR(W8*N8*52/1000,"")</f>
        <v/>
      </c>
      <c r="Y8" s="690"/>
      <c r="Z8" s="695"/>
      <c r="AC8" s="23" t="s">
        <v>390</v>
      </c>
      <c r="AD8" s="32">
        <v>0</v>
      </c>
      <c r="AE8" s="678">
        <v>0.17</v>
      </c>
      <c r="AF8" s="679"/>
    </row>
    <row r="9" spans="1:32" x14ac:dyDescent="0.25">
      <c r="B9" s="341"/>
      <c r="C9" s="321"/>
      <c r="D9" s="342"/>
      <c r="E9" s="326"/>
      <c r="F9" s="326"/>
      <c r="G9" s="326"/>
      <c r="H9" s="277">
        <f t="shared" si="2"/>
        <v>0</v>
      </c>
      <c r="I9" s="326"/>
      <c r="J9" s="326"/>
      <c r="K9" s="326"/>
      <c r="L9" s="326"/>
      <c r="M9" s="909"/>
      <c r="N9" s="759" t="str">
        <f>IF(I9="","NA",IF(M9="",'Building Data schedule'!$C$14,M9))</f>
        <v>NA</v>
      </c>
      <c r="O9" s="684">
        <f t="shared" si="3"/>
        <v>0</v>
      </c>
      <c r="P9" s="911" t="str">
        <f t="shared" si="4"/>
        <v/>
      </c>
      <c r="Q9" s="910">
        <f t="shared" si="5"/>
        <v>0</v>
      </c>
      <c r="R9" s="683">
        <f t="shared" si="6"/>
        <v>0</v>
      </c>
      <c r="S9" s="897" t="str">
        <f t="shared" si="7"/>
        <v/>
      </c>
      <c r="T9" s="709">
        <f t="shared" si="8"/>
        <v>0</v>
      </c>
      <c r="U9" s="893" t="str">
        <f t="shared" si="9"/>
        <v/>
      </c>
      <c r="V9" s="683">
        <f t="shared" si="10"/>
        <v>0.17</v>
      </c>
      <c r="W9" s="683">
        <f t="shared" si="11"/>
        <v>0</v>
      </c>
      <c r="X9" s="683" t="str">
        <f t="shared" si="12"/>
        <v/>
      </c>
      <c r="Y9" s="690"/>
      <c r="Z9" s="695"/>
    </row>
    <row r="10" spans="1:32" s="628" customFormat="1" x14ac:dyDescent="0.25">
      <c r="B10" s="341"/>
      <c r="C10" s="321"/>
      <c r="D10" s="342"/>
      <c r="E10" s="326"/>
      <c r="F10" s="326"/>
      <c r="G10" s="326"/>
      <c r="H10" s="277">
        <f t="shared" ref="H10:H15" si="13">E10*F10*G10</f>
        <v>0</v>
      </c>
      <c r="I10" s="326"/>
      <c r="J10" s="326"/>
      <c r="K10" s="326"/>
      <c r="L10" s="326"/>
      <c r="M10" s="909"/>
      <c r="N10" s="759" t="str">
        <f>IF(I10="","NA",IF(M10="",'Building Data schedule'!$C$14,M10))</f>
        <v>NA</v>
      </c>
      <c r="O10" s="684">
        <f t="shared" si="3"/>
        <v>0</v>
      </c>
      <c r="P10" s="911" t="str">
        <f t="shared" si="4"/>
        <v/>
      </c>
      <c r="Q10" s="910">
        <f t="shared" si="5"/>
        <v>0</v>
      </c>
      <c r="R10" s="683">
        <f t="shared" si="6"/>
        <v>0</v>
      </c>
      <c r="S10" s="897" t="str">
        <f t="shared" si="7"/>
        <v/>
      </c>
      <c r="T10" s="709">
        <f t="shared" si="8"/>
        <v>0</v>
      </c>
      <c r="U10" s="893" t="str">
        <f t="shared" si="9"/>
        <v/>
      </c>
      <c r="V10" s="683">
        <f t="shared" si="10"/>
        <v>0.17</v>
      </c>
      <c r="W10" s="683">
        <f t="shared" si="11"/>
        <v>0</v>
      </c>
      <c r="X10" s="683" t="str">
        <f t="shared" si="12"/>
        <v/>
      </c>
      <c r="Y10" s="690"/>
      <c r="Z10" s="695"/>
      <c r="AC10" s="670" t="s">
        <v>700</v>
      </c>
    </row>
    <row r="11" spans="1:32" s="628" customFormat="1" ht="15" customHeight="1" x14ac:dyDescent="0.25">
      <c r="B11" s="341"/>
      <c r="C11" s="321"/>
      <c r="D11" s="342"/>
      <c r="E11" s="326"/>
      <c r="F11" s="326"/>
      <c r="G11" s="326"/>
      <c r="H11" s="277">
        <f t="shared" si="13"/>
        <v>0</v>
      </c>
      <c r="I11" s="326"/>
      <c r="J11" s="326"/>
      <c r="K11" s="326"/>
      <c r="L11" s="326"/>
      <c r="M11" s="909"/>
      <c r="N11" s="759" t="str">
        <f>IF(I11="","NA",IF(M11="",'Building Data schedule'!$C$14,M11))</f>
        <v>NA</v>
      </c>
      <c r="O11" s="684">
        <f t="shared" si="3"/>
        <v>0</v>
      </c>
      <c r="P11" s="911" t="str">
        <f t="shared" si="4"/>
        <v/>
      </c>
      <c r="Q11" s="910">
        <f t="shared" si="5"/>
        <v>0</v>
      </c>
      <c r="R11" s="683">
        <f t="shared" si="6"/>
        <v>0</v>
      </c>
      <c r="S11" s="897" t="str">
        <f t="shared" si="7"/>
        <v/>
      </c>
      <c r="T11" s="709">
        <f t="shared" si="8"/>
        <v>0</v>
      </c>
      <c r="U11" s="893" t="str">
        <f t="shared" si="9"/>
        <v/>
      </c>
      <c r="V11" s="683">
        <f t="shared" si="10"/>
        <v>0.17</v>
      </c>
      <c r="W11" s="683">
        <f t="shared" si="11"/>
        <v>0</v>
      </c>
      <c r="X11" s="683" t="str">
        <f t="shared" si="12"/>
        <v/>
      </c>
      <c r="Y11" s="690"/>
      <c r="Z11" s="695"/>
      <c r="AC11" s="968" t="s">
        <v>704</v>
      </c>
      <c r="AD11" s="968"/>
      <c r="AE11" s="968"/>
    </row>
    <row r="12" spans="1:32" s="628" customFormat="1" ht="15" customHeight="1" x14ac:dyDescent="0.25">
      <c r="B12" s="341"/>
      <c r="C12" s="321"/>
      <c r="D12" s="342"/>
      <c r="E12" s="326"/>
      <c r="F12" s="326"/>
      <c r="G12" s="326"/>
      <c r="H12" s="277">
        <f t="shared" si="13"/>
        <v>0</v>
      </c>
      <c r="I12" s="326"/>
      <c r="J12" s="326"/>
      <c r="K12" s="326"/>
      <c r="L12" s="326"/>
      <c r="M12" s="909"/>
      <c r="N12" s="759" t="str">
        <f>IF(I12="","NA",IF(M12="",'Building Data schedule'!$C$14,M12))</f>
        <v>NA</v>
      </c>
      <c r="O12" s="684">
        <f t="shared" si="3"/>
        <v>0</v>
      </c>
      <c r="P12" s="911" t="str">
        <f t="shared" si="4"/>
        <v/>
      </c>
      <c r="Q12" s="910">
        <f t="shared" si="5"/>
        <v>0</v>
      </c>
      <c r="R12" s="683">
        <f t="shared" si="6"/>
        <v>0</v>
      </c>
      <c r="S12" s="897" t="str">
        <f t="shared" si="7"/>
        <v/>
      </c>
      <c r="T12" s="709">
        <f t="shared" si="8"/>
        <v>0</v>
      </c>
      <c r="U12" s="893" t="str">
        <f t="shared" si="9"/>
        <v/>
      </c>
      <c r="V12" s="683">
        <f t="shared" si="10"/>
        <v>0.17</v>
      </c>
      <c r="W12" s="683">
        <f t="shared" si="11"/>
        <v>0</v>
      </c>
      <c r="X12" s="683" t="str">
        <f t="shared" si="12"/>
        <v/>
      </c>
      <c r="Y12" s="690"/>
      <c r="Z12" s="695"/>
      <c r="AC12" s="968"/>
      <c r="AD12" s="968"/>
      <c r="AE12" s="968"/>
    </row>
    <row r="13" spans="1:32" s="628" customFormat="1" ht="15" customHeight="1" x14ac:dyDescent="0.25">
      <c r="B13" s="341"/>
      <c r="C13" s="321"/>
      <c r="D13" s="342"/>
      <c r="E13" s="326"/>
      <c r="F13" s="326"/>
      <c r="G13" s="326"/>
      <c r="H13" s="277">
        <f t="shared" si="13"/>
        <v>0</v>
      </c>
      <c r="I13" s="326"/>
      <c r="J13" s="326"/>
      <c r="K13" s="326"/>
      <c r="L13" s="326"/>
      <c r="M13" s="909"/>
      <c r="N13" s="759" t="str">
        <f>IF(I13="","NA",IF(M13="",'Building Data schedule'!$C$14,M13))</f>
        <v>NA</v>
      </c>
      <c r="O13" s="684">
        <f t="shared" si="3"/>
        <v>0</v>
      </c>
      <c r="P13" s="911" t="str">
        <f t="shared" si="4"/>
        <v/>
      </c>
      <c r="Q13" s="910">
        <f t="shared" si="5"/>
        <v>0</v>
      </c>
      <c r="R13" s="683">
        <f t="shared" si="6"/>
        <v>0</v>
      </c>
      <c r="S13" s="897" t="str">
        <f t="shared" si="7"/>
        <v/>
      </c>
      <c r="T13" s="709">
        <f t="shared" si="8"/>
        <v>0</v>
      </c>
      <c r="U13" s="893" t="str">
        <f t="shared" si="9"/>
        <v/>
      </c>
      <c r="V13" s="683">
        <f t="shared" si="10"/>
        <v>0.17</v>
      </c>
      <c r="W13" s="683">
        <f t="shared" si="11"/>
        <v>0</v>
      </c>
      <c r="X13" s="683" t="str">
        <f t="shared" si="12"/>
        <v/>
      </c>
      <c r="Y13" s="690"/>
      <c r="Z13" s="695"/>
      <c r="AC13" s="968" t="s">
        <v>688</v>
      </c>
      <c r="AD13" s="968"/>
      <c r="AE13" s="968"/>
    </row>
    <row r="14" spans="1:32" s="628" customFormat="1" ht="15" customHeight="1" x14ac:dyDescent="0.25">
      <c r="B14" s="341"/>
      <c r="C14" s="321"/>
      <c r="D14" s="342"/>
      <c r="E14" s="326"/>
      <c r="F14" s="326"/>
      <c r="G14" s="326"/>
      <c r="H14" s="277">
        <f t="shared" si="13"/>
        <v>0</v>
      </c>
      <c r="I14" s="326"/>
      <c r="J14" s="326"/>
      <c r="K14" s="326"/>
      <c r="L14" s="326"/>
      <c r="M14" s="909"/>
      <c r="N14" s="759" t="str">
        <f>IF(I14="","NA",IF(M14="",'Building Data schedule'!$C$14,M14))</f>
        <v>NA</v>
      </c>
      <c r="O14" s="684">
        <f t="shared" si="3"/>
        <v>0</v>
      </c>
      <c r="P14" s="911" t="str">
        <f t="shared" si="4"/>
        <v/>
      </c>
      <c r="Q14" s="910">
        <f t="shared" si="5"/>
        <v>0</v>
      </c>
      <c r="R14" s="683">
        <f t="shared" si="6"/>
        <v>0</v>
      </c>
      <c r="S14" s="897" t="str">
        <f t="shared" si="7"/>
        <v/>
      </c>
      <c r="T14" s="709">
        <f t="shared" si="8"/>
        <v>0</v>
      </c>
      <c r="U14" s="893" t="str">
        <f t="shared" si="9"/>
        <v/>
      </c>
      <c r="V14" s="683">
        <f t="shared" si="10"/>
        <v>0.17</v>
      </c>
      <c r="W14" s="683">
        <f t="shared" si="11"/>
        <v>0</v>
      </c>
      <c r="X14" s="683" t="str">
        <f t="shared" si="12"/>
        <v/>
      </c>
      <c r="Y14" s="690"/>
      <c r="Z14" s="695"/>
      <c r="AC14" s="968" t="s">
        <v>705</v>
      </c>
      <c r="AD14" s="968"/>
      <c r="AE14" s="968"/>
    </row>
    <row r="15" spans="1:32" s="628" customFormat="1" ht="15" customHeight="1" x14ac:dyDescent="0.25">
      <c r="B15" s="341"/>
      <c r="C15" s="321"/>
      <c r="D15" s="342"/>
      <c r="E15" s="326"/>
      <c r="F15" s="326"/>
      <c r="G15" s="326"/>
      <c r="H15" s="277">
        <f t="shared" si="13"/>
        <v>0</v>
      </c>
      <c r="I15" s="326"/>
      <c r="J15" s="326"/>
      <c r="K15" s="326"/>
      <c r="L15" s="326"/>
      <c r="M15" s="909"/>
      <c r="N15" s="759" t="str">
        <f>IF(I15="","NA",IF(M15="",'Building Data schedule'!$C$14,M15))</f>
        <v>NA</v>
      </c>
      <c r="O15" s="684">
        <f t="shared" si="3"/>
        <v>0</v>
      </c>
      <c r="P15" s="911" t="str">
        <f t="shared" si="4"/>
        <v/>
      </c>
      <c r="Q15" s="910">
        <f t="shared" si="5"/>
        <v>0</v>
      </c>
      <c r="R15" s="683">
        <f t="shared" si="6"/>
        <v>0</v>
      </c>
      <c r="S15" s="897" t="str">
        <f t="shared" si="7"/>
        <v/>
      </c>
      <c r="T15" s="709">
        <f t="shared" si="8"/>
        <v>0</v>
      </c>
      <c r="U15" s="893" t="str">
        <f t="shared" si="9"/>
        <v/>
      </c>
      <c r="V15" s="683">
        <f t="shared" si="10"/>
        <v>0.17</v>
      </c>
      <c r="W15" s="683">
        <f t="shared" si="11"/>
        <v>0</v>
      </c>
      <c r="X15" s="683" t="str">
        <f t="shared" si="12"/>
        <v/>
      </c>
      <c r="Y15" s="690"/>
      <c r="Z15" s="695"/>
      <c r="AC15" s="968" t="s">
        <v>689</v>
      </c>
      <c r="AD15" s="968"/>
      <c r="AE15" s="968"/>
    </row>
    <row r="16" spans="1:32" s="628" customFormat="1" ht="15" customHeight="1" x14ac:dyDescent="0.25">
      <c r="B16" s="341"/>
      <c r="C16" s="321"/>
      <c r="D16" s="342"/>
      <c r="E16" s="326"/>
      <c r="F16" s="326"/>
      <c r="G16" s="326"/>
      <c r="H16" s="277">
        <f>E16*F16*G16</f>
        <v>0</v>
      </c>
      <c r="I16" s="326"/>
      <c r="J16" s="326"/>
      <c r="K16" s="326"/>
      <c r="L16" s="326"/>
      <c r="M16" s="909"/>
      <c r="N16" s="759" t="str">
        <f>IF(I16="","NA",IF(M16="",'Building Data schedule'!$C$14,M16))</f>
        <v>NA</v>
      </c>
      <c r="O16" s="684">
        <f t="shared" si="3"/>
        <v>0</v>
      </c>
      <c r="P16" s="911" t="str">
        <f t="shared" si="4"/>
        <v/>
      </c>
      <c r="Q16" s="910">
        <f t="shared" si="5"/>
        <v>0</v>
      </c>
      <c r="R16" s="683">
        <f t="shared" si="6"/>
        <v>0</v>
      </c>
      <c r="S16" s="897" t="str">
        <f t="shared" si="7"/>
        <v/>
      </c>
      <c r="T16" s="709">
        <f t="shared" si="8"/>
        <v>0</v>
      </c>
      <c r="U16" s="893" t="str">
        <f t="shared" si="9"/>
        <v/>
      </c>
      <c r="V16" s="683">
        <f t="shared" si="10"/>
        <v>0.17</v>
      </c>
      <c r="W16" s="683">
        <f t="shared" si="11"/>
        <v>0</v>
      </c>
      <c r="X16" s="683" t="str">
        <f t="shared" si="12"/>
        <v/>
      </c>
      <c r="Y16" s="690"/>
      <c r="Z16" s="695"/>
      <c r="AC16" s="968" t="s">
        <v>739</v>
      </c>
      <c r="AD16" s="968"/>
      <c r="AE16" s="968"/>
    </row>
    <row r="17" spans="2:31" s="628" customFormat="1" ht="15" customHeight="1" x14ac:dyDescent="0.25">
      <c r="B17" s="341"/>
      <c r="C17" s="321"/>
      <c r="D17" s="342"/>
      <c r="E17" s="326"/>
      <c r="F17" s="326"/>
      <c r="G17" s="326"/>
      <c r="H17" s="277">
        <f t="shared" ref="H17:H24" si="14">E17*F17*G17</f>
        <v>0</v>
      </c>
      <c r="I17" s="326"/>
      <c r="J17" s="326"/>
      <c r="K17" s="326"/>
      <c r="L17" s="326"/>
      <c r="M17" s="909"/>
      <c r="N17" s="759" t="str">
        <f>IF(I17="","NA",IF(M17="",'Building Data schedule'!$C$14,M17))</f>
        <v>NA</v>
      </c>
      <c r="O17" s="684">
        <f t="shared" si="3"/>
        <v>0</v>
      </c>
      <c r="P17" s="911" t="str">
        <f t="shared" si="4"/>
        <v/>
      </c>
      <c r="Q17" s="910">
        <f t="shared" si="5"/>
        <v>0</v>
      </c>
      <c r="R17" s="683">
        <f t="shared" si="6"/>
        <v>0</v>
      </c>
      <c r="S17" s="897" t="str">
        <f t="shared" si="7"/>
        <v/>
      </c>
      <c r="T17" s="709">
        <f t="shared" si="8"/>
        <v>0</v>
      </c>
      <c r="U17" s="893" t="str">
        <f t="shared" si="9"/>
        <v/>
      </c>
      <c r="V17" s="683">
        <f t="shared" si="10"/>
        <v>0.17</v>
      </c>
      <c r="W17" s="683">
        <f t="shared" si="11"/>
        <v>0</v>
      </c>
      <c r="X17" s="683" t="str">
        <f t="shared" si="12"/>
        <v/>
      </c>
      <c r="Y17" s="690"/>
      <c r="Z17" s="695"/>
      <c r="AC17" s="968"/>
      <c r="AD17" s="968"/>
      <c r="AE17" s="968"/>
    </row>
    <row r="18" spans="2:31" s="628" customFormat="1" ht="15" customHeight="1" x14ac:dyDescent="0.25">
      <c r="B18" s="341"/>
      <c r="C18" s="321"/>
      <c r="D18" s="342"/>
      <c r="E18" s="326"/>
      <c r="F18" s="326"/>
      <c r="G18" s="326"/>
      <c r="H18" s="277">
        <f t="shared" si="14"/>
        <v>0</v>
      </c>
      <c r="I18" s="326"/>
      <c r="J18" s="326"/>
      <c r="K18" s="326"/>
      <c r="L18" s="326"/>
      <c r="M18" s="909"/>
      <c r="N18" s="759" t="str">
        <f>IF(I18="","NA",IF(M18="",'Building Data schedule'!$C$14,M18))</f>
        <v>NA</v>
      </c>
      <c r="O18" s="684">
        <f t="shared" si="3"/>
        <v>0</v>
      </c>
      <c r="P18" s="911" t="str">
        <f t="shared" si="4"/>
        <v/>
      </c>
      <c r="Q18" s="910">
        <f t="shared" si="5"/>
        <v>0</v>
      </c>
      <c r="R18" s="683">
        <f t="shared" si="6"/>
        <v>0</v>
      </c>
      <c r="S18" s="897" t="str">
        <f t="shared" si="7"/>
        <v/>
      </c>
      <c r="T18" s="709">
        <f t="shared" si="8"/>
        <v>0</v>
      </c>
      <c r="U18" s="893" t="str">
        <f t="shared" si="9"/>
        <v/>
      </c>
      <c r="V18" s="683">
        <f t="shared" si="10"/>
        <v>0.17</v>
      </c>
      <c r="W18" s="683">
        <f t="shared" si="11"/>
        <v>0</v>
      </c>
      <c r="X18" s="683" t="str">
        <f t="shared" si="12"/>
        <v/>
      </c>
      <c r="Y18" s="690"/>
      <c r="Z18" s="695"/>
      <c r="AC18" s="968" t="s">
        <v>740</v>
      </c>
      <c r="AD18" s="968"/>
      <c r="AE18" s="968"/>
    </row>
    <row r="19" spans="2:31" s="628" customFormat="1" ht="15" customHeight="1" x14ac:dyDescent="0.25">
      <c r="B19" s="341"/>
      <c r="C19" s="321"/>
      <c r="D19" s="342"/>
      <c r="E19" s="326"/>
      <c r="F19" s="326"/>
      <c r="G19" s="326"/>
      <c r="H19" s="277">
        <f t="shared" si="14"/>
        <v>0</v>
      </c>
      <c r="I19" s="326"/>
      <c r="J19" s="326"/>
      <c r="K19" s="326"/>
      <c r="L19" s="326"/>
      <c r="M19" s="909"/>
      <c r="N19" s="759" t="str">
        <f>IF(I19="","NA",IF(M19="",'Building Data schedule'!$C$14,M19))</f>
        <v>NA</v>
      </c>
      <c r="O19" s="684">
        <f t="shared" si="3"/>
        <v>0</v>
      </c>
      <c r="P19" s="911" t="str">
        <f t="shared" si="4"/>
        <v/>
      </c>
      <c r="Q19" s="910">
        <f t="shared" si="5"/>
        <v>0</v>
      </c>
      <c r="R19" s="683">
        <f t="shared" si="6"/>
        <v>0</v>
      </c>
      <c r="S19" s="897" t="str">
        <f t="shared" si="7"/>
        <v/>
      </c>
      <c r="T19" s="709">
        <f t="shared" si="8"/>
        <v>0</v>
      </c>
      <c r="U19" s="893" t="str">
        <f t="shared" si="9"/>
        <v/>
      </c>
      <c r="V19" s="683">
        <f t="shared" si="10"/>
        <v>0.17</v>
      </c>
      <c r="W19" s="683">
        <f t="shared" si="11"/>
        <v>0</v>
      </c>
      <c r="X19" s="683" t="str">
        <f t="shared" si="12"/>
        <v/>
      </c>
      <c r="Y19" s="690"/>
      <c r="Z19" s="695"/>
      <c r="AC19" s="968"/>
      <c r="AD19" s="968"/>
      <c r="AE19" s="968"/>
    </row>
    <row r="20" spans="2:31" s="628" customFormat="1" x14ac:dyDescent="0.25">
      <c r="B20" s="341"/>
      <c r="C20" s="321"/>
      <c r="D20" s="342"/>
      <c r="E20" s="326"/>
      <c r="F20" s="326"/>
      <c r="G20" s="326"/>
      <c r="H20" s="277">
        <f t="shared" si="14"/>
        <v>0</v>
      </c>
      <c r="I20" s="326"/>
      <c r="J20" s="326"/>
      <c r="K20" s="326"/>
      <c r="L20" s="326"/>
      <c r="M20" s="909"/>
      <c r="N20" s="759" t="str">
        <f>IF(I20="","NA",IF(M20="",'Building Data schedule'!$C$14,M20))</f>
        <v>NA</v>
      </c>
      <c r="O20" s="684">
        <f t="shared" si="3"/>
        <v>0</v>
      </c>
      <c r="P20" s="911" t="str">
        <f t="shared" si="4"/>
        <v/>
      </c>
      <c r="Q20" s="910">
        <f t="shared" si="5"/>
        <v>0</v>
      </c>
      <c r="R20" s="683">
        <f t="shared" si="6"/>
        <v>0</v>
      </c>
      <c r="S20" s="897" t="str">
        <f t="shared" si="7"/>
        <v/>
      </c>
      <c r="T20" s="709">
        <f t="shared" si="8"/>
        <v>0</v>
      </c>
      <c r="U20" s="893" t="str">
        <f t="shared" si="9"/>
        <v/>
      </c>
      <c r="V20" s="683">
        <f t="shared" si="10"/>
        <v>0.17</v>
      </c>
      <c r="W20" s="683">
        <f t="shared" si="11"/>
        <v>0</v>
      </c>
      <c r="X20" s="683" t="str">
        <f t="shared" si="12"/>
        <v/>
      </c>
      <c r="Y20" s="690"/>
      <c r="Z20" s="695"/>
      <c r="AC20" s="5"/>
      <c r="AD20" s="5"/>
      <c r="AE20" s="5"/>
    </row>
    <row r="21" spans="2:31" s="628" customFormat="1" x14ac:dyDescent="0.25">
      <c r="B21" s="341"/>
      <c r="C21" s="321"/>
      <c r="D21" s="342"/>
      <c r="E21" s="326"/>
      <c r="F21" s="326"/>
      <c r="G21" s="326"/>
      <c r="H21" s="277">
        <f t="shared" si="14"/>
        <v>0</v>
      </c>
      <c r="I21" s="326"/>
      <c r="J21" s="326"/>
      <c r="K21" s="326"/>
      <c r="L21" s="326"/>
      <c r="M21" s="909"/>
      <c r="N21" s="759" t="str">
        <f>IF(I21="","NA",IF(M21="",'Building Data schedule'!$C$14,M21))</f>
        <v>NA</v>
      </c>
      <c r="O21" s="684">
        <f t="shared" si="3"/>
        <v>0</v>
      </c>
      <c r="P21" s="911" t="str">
        <f t="shared" si="4"/>
        <v/>
      </c>
      <c r="Q21" s="910">
        <f t="shared" si="5"/>
        <v>0</v>
      </c>
      <c r="R21" s="683">
        <f t="shared" si="6"/>
        <v>0</v>
      </c>
      <c r="S21" s="897" t="str">
        <f t="shared" si="7"/>
        <v/>
      </c>
      <c r="T21" s="709">
        <f t="shared" si="8"/>
        <v>0</v>
      </c>
      <c r="U21" s="893" t="str">
        <f t="shared" si="9"/>
        <v/>
      </c>
      <c r="V21" s="683">
        <f t="shared" si="10"/>
        <v>0.17</v>
      </c>
      <c r="W21" s="683">
        <f t="shared" si="11"/>
        <v>0</v>
      </c>
      <c r="X21" s="683" t="str">
        <f t="shared" si="12"/>
        <v/>
      </c>
      <c r="Y21" s="690"/>
      <c r="Z21" s="695"/>
      <c r="AC21" s="5"/>
      <c r="AD21" s="5"/>
      <c r="AE21" s="5"/>
    </row>
    <row r="22" spans="2:31" s="628" customFormat="1" x14ac:dyDescent="0.25">
      <c r="B22" s="341"/>
      <c r="C22" s="321"/>
      <c r="D22" s="342"/>
      <c r="E22" s="326"/>
      <c r="F22" s="326"/>
      <c r="G22" s="326"/>
      <c r="H22" s="277">
        <f t="shared" si="14"/>
        <v>0</v>
      </c>
      <c r="I22" s="326"/>
      <c r="J22" s="326"/>
      <c r="K22" s="326"/>
      <c r="L22" s="326"/>
      <c r="M22" s="909"/>
      <c r="N22" s="759" t="str">
        <f>IF(I22="","NA",IF(M22="",'Building Data schedule'!$C$14,M22))</f>
        <v>NA</v>
      </c>
      <c r="O22" s="684">
        <f t="shared" si="3"/>
        <v>0</v>
      </c>
      <c r="P22" s="911" t="str">
        <f t="shared" si="4"/>
        <v/>
      </c>
      <c r="Q22" s="910">
        <f t="shared" si="5"/>
        <v>0</v>
      </c>
      <c r="R22" s="683">
        <f t="shared" si="6"/>
        <v>0</v>
      </c>
      <c r="S22" s="897" t="str">
        <f t="shared" si="7"/>
        <v/>
      </c>
      <c r="T22" s="709">
        <f t="shared" si="8"/>
        <v>0</v>
      </c>
      <c r="U22" s="893" t="str">
        <f t="shared" si="9"/>
        <v/>
      </c>
      <c r="V22" s="683">
        <f t="shared" si="10"/>
        <v>0.17</v>
      </c>
      <c r="W22" s="683">
        <f t="shared" si="11"/>
        <v>0</v>
      </c>
      <c r="X22" s="683" t="str">
        <f t="shared" si="12"/>
        <v/>
      </c>
      <c r="Y22" s="690"/>
      <c r="Z22" s="695"/>
      <c r="AC22" s="5"/>
      <c r="AD22" s="5"/>
      <c r="AE22" s="5"/>
    </row>
    <row r="23" spans="2:31" s="628" customFormat="1" x14ac:dyDescent="0.25">
      <c r="B23" s="341"/>
      <c r="C23" s="321"/>
      <c r="D23" s="342"/>
      <c r="E23" s="326"/>
      <c r="F23" s="326"/>
      <c r="G23" s="326"/>
      <c r="H23" s="277">
        <f t="shared" si="14"/>
        <v>0</v>
      </c>
      <c r="I23" s="326"/>
      <c r="J23" s="326"/>
      <c r="K23" s="326"/>
      <c r="L23" s="326"/>
      <c r="M23" s="909"/>
      <c r="N23" s="759" t="str">
        <f>IF(I23="","NA",IF(M23="",'Building Data schedule'!$C$14,M23))</f>
        <v>NA</v>
      </c>
      <c r="O23" s="684">
        <f t="shared" si="3"/>
        <v>0</v>
      </c>
      <c r="P23" s="911" t="str">
        <f t="shared" si="4"/>
        <v/>
      </c>
      <c r="Q23" s="910">
        <f t="shared" si="5"/>
        <v>0</v>
      </c>
      <c r="R23" s="683">
        <f t="shared" si="6"/>
        <v>0</v>
      </c>
      <c r="S23" s="897" t="str">
        <f t="shared" si="7"/>
        <v/>
      </c>
      <c r="T23" s="709">
        <f t="shared" si="8"/>
        <v>0</v>
      </c>
      <c r="U23" s="893" t="str">
        <f t="shared" si="9"/>
        <v/>
      </c>
      <c r="V23" s="683">
        <f t="shared" si="10"/>
        <v>0.17</v>
      </c>
      <c r="W23" s="683">
        <f t="shared" si="11"/>
        <v>0</v>
      </c>
      <c r="X23" s="683" t="str">
        <f t="shared" si="12"/>
        <v/>
      </c>
      <c r="Y23" s="690"/>
      <c r="Z23" s="695"/>
      <c r="AC23" s="5"/>
      <c r="AD23" s="5"/>
      <c r="AE23" s="5"/>
    </row>
    <row r="24" spans="2:31" s="628" customFormat="1" x14ac:dyDescent="0.25">
      <c r="B24" s="341"/>
      <c r="C24" s="321"/>
      <c r="D24" s="342"/>
      <c r="E24" s="326"/>
      <c r="F24" s="326"/>
      <c r="G24" s="326"/>
      <c r="H24" s="277">
        <f t="shared" si="14"/>
        <v>0</v>
      </c>
      <c r="I24" s="326"/>
      <c r="J24" s="326"/>
      <c r="K24" s="326"/>
      <c r="L24" s="326"/>
      <c r="M24" s="909"/>
      <c r="N24" s="759" t="str">
        <f>IF(I24="","NA",IF(M24="",'Building Data schedule'!$C$14,M24))</f>
        <v>NA</v>
      </c>
      <c r="O24" s="684">
        <f t="shared" si="3"/>
        <v>0</v>
      </c>
      <c r="P24" s="911" t="str">
        <f t="shared" si="4"/>
        <v/>
      </c>
      <c r="Q24" s="910">
        <f t="shared" si="5"/>
        <v>0</v>
      </c>
      <c r="R24" s="683">
        <f t="shared" si="6"/>
        <v>0</v>
      </c>
      <c r="S24" s="897" t="str">
        <f t="shared" si="7"/>
        <v/>
      </c>
      <c r="T24" s="709">
        <f t="shared" si="8"/>
        <v>0</v>
      </c>
      <c r="U24" s="893" t="str">
        <f t="shared" si="9"/>
        <v/>
      </c>
      <c r="V24" s="683">
        <f t="shared" si="10"/>
        <v>0.17</v>
      </c>
      <c r="W24" s="683">
        <f t="shared" si="11"/>
        <v>0</v>
      </c>
      <c r="X24" s="683" t="str">
        <f t="shared" si="12"/>
        <v/>
      </c>
      <c r="Y24" s="690"/>
      <c r="Z24" s="695"/>
      <c r="AC24" s="5"/>
      <c r="AD24" s="5"/>
      <c r="AE24" s="5"/>
    </row>
    <row r="25" spans="2:31" s="628" customFormat="1" x14ac:dyDescent="0.25">
      <c r="B25" s="341"/>
      <c r="C25" s="321"/>
      <c r="D25" s="342"/>
      <c r="E25" s="326"/>
      <c r="F25" s="326"/>
      <c r="G25" s="326"/>
      <c r="H25" s="277">
        <f>E25*F25*G25</f>
        <v>0</v>
      </c>
      <c r="I25" s="326"/>
      <c r="J25" s="326"/>
      <c r="K25" s="326"/>
      <c r="L25" s="326"/>
      <c r="M25" s="909"/>
      <c r="N25" s="759" t="str">
        <f>IF(I25="","NA",IF(M25="",'Building Data schedule'!$C$14,M25))</f>
        <v>NA</v>
      </c>
      <c r="O25" s="684">
        <f t="shared" si="3"/>
        <v>0</v>
      </c>
      <c r="P25" s="911" t="str">
        <f t="shared" si="4"/>
        <v/>
      </c>
      <c r="Q25" s="910">
        <f t="shared" si="5"/>
        <v>0</v>
      </c>
      <c r="R25" s="683">
        <f t="shared" si="6"/>
        <v>0</v>
      </c>
      <c r="S25" s="897" t="str">
        <f t="shared" si="7"/>
        <v/>
      </c>
      <c r="T25" s="709">
        <f t="shared" si="8"/>
        <v>0</v>
      </c>
      <c r="U25" s="893" t="str">
        <f t="shared" si="9"/>
        <v/>
      </c>
      <c r="V25" s="683">
        <f t="shared" si="10"/>
        <v>0.17</v>
      </c>
      <c r="W25" s="683">
        <f t="shared" si="11"/>
        <v>0</v>
      </c>
      <c r="X25" s="683" t="str">
        <f t="shared" si="12"/>
        <v/>
      </c>
      <c r="Y25" s="690"/>
      <c r="Z25" s="695"/>
      <c r="AC25" s="5"/>
      <c r="AD25" s="5"/>
      <c r="AE25" s="5"/>
    </row>
    <row r="26" spans="2:31" s="628" customFormat="1" x14ac:dyDescent="0.25">
      <c r="B26" s="341"/>
      <c r="C26" s="321"/>
      <c r="D26" s="342"/>
      <c r="E26" s="326"/>
      <c r="F26" s="326"/>
      <c r="G26" s="326"/>
      <c r="H26" s="277">
        <f>E26*F26*G26</f>
        <v>0</v>
      </c>
      <c r="I26" s="326"/>
      <c r="J26" s="326"/>
      <c r="K26" s="326"/>
      <c r="L26" s="326"/>
      <c r="M26" s="909"/>
      <c r="N26" s="759" t="str">
        <f>IF(I26="","NA",IF(M26="",'Building Data schedule'!$C$14,M26))</f>
        <v>NA</v>
      </c>
      <c r="O26" s="684">
        <f t="shared" si="3"/>
        <v>0</v>
      </c>
      <c r="P26" s="911" t="str">
        <f t="shared" si="4"/>
        <v/>
      </c>
      <c r="Q26" s="910">
        <f t="shared" si="5"/>
        <v>0</v>
      </c>
      <c r="R26" s="683">
        <f t="shared" si="6"/>
        <v>0</v>
      </c>
      <c r="S26" s="897" t="str">
        <f t="shared" si="7"/>
        <v/>
      </c>
      <c r="T26" s="709">
        <f t="shared" si="8"/>
        <v>0</v>
      </c>
      <c r="U26" s="893" t="str">
        <f t="shared" si="9"/>
        <v/>
      </c>
      <c r="V26" s="683">
        <f t="shared" si="10"/>
        <v>0.17</v>
      </c>
      <c r="W26" s="683">
        <f t="shared" si="11"/>
        <v>0</v>
      </c>
      <c r="X26" s="683" t="str">
        <f t="shared" si="12"/>
        <v/>
      </c>
      <c r="Y26" s="690"/>
      <c r="Z26" s="695"/>
      <c r="AC26" s="8"/>
      <c r="AD26" s="5"/>
      <c r="AE26" s="5"/>
    </row>
    <row r="27" spans="2:31" s="628" customFormat="1" x14ac:dyDescent="0.25">
      <c r="B27" s="341"/>
      <c r="C27" s="321"/>
      <c r="D27" s="342"/>
      <c r="E27" s="326"/>
      <c r="F27" s="326"/>
      <c r="G27" s="326"/>
      <c r="H27" s="277">
        <f t="shared" ref="H27:H34" si="15">E27*F27*G27</f>
        <v>0</v>
      </c>
      <c r="I27" s="326"/>
      <c r="J27" s="326"/>
      <c r="K27" s="326"/>
      <c r="L27" s="326"/>
      <c r="M27" s="909"/>
      <c r="N27" s="759" t="str">
        <f>IF(I27="","NA",IF(M27="",'Building Data schedule'!$C$14,M27))</f>
        <v>NA</v>
      </c>
      <c r="O27" s="684">
        <f t="shared" si="3"/>
        <v>0</v>
      </c>
      <c r="P27" s="911" t="str">
        <f t="shared" si="4"/>
        <v/>
      </c>
      <c r="Q27" s="910">
        <f t="shared" si="5"/>
        <v>0</v>
      </c>
      <c r="R27" s="683">
        <f t="shared" si="6"/>
        <v>0</v>
      </c>
      <c r="S27" s="897" t="str">
        <f t="shared" si="7"/>
        <v/>
      </c>
      <c r="T27" s="709">
        <f t="shared" si="8"/>
        <v>0</v>
      </c>
      <c r="U27" s="893" t="str">
        <f t="shared" si="9"/>
        <v/>
      </c>
      <c r="V27" s="683">
        <f t="shared" si="10"/>
        <v>0.17</v>
      </c>
      <c r="W27" s="683">
        <f t="shared" si="11"/>
        <v>0</v>
      </c>
      <c r="X27" s="683" t="str">
        <f t="shared" si="12"/>
        <v/>
      </c>
      <c r="Y27" s="690"/>
      <c r="Z27" s="695"/>
      <c r="AC27" s="8"/>
      <c r="AD27" s="5"/>
      <c r="AE27" s="5"/>
    </row>
    <row r="28" spans="2:31" s="628" customFormat="1" x14ac:dyDescent="0.25">
      <c r="B28" s="341"/>
      <c r="C28" s="321"/>
      <c r="D28" s="342"/>
      <c r="E28" s="326"/>
      <c r="F28" s="326"/>
      <c r="G28" s="326"/>
      <c r="H28" s="277">
        <f t="shared" si="15"/>
        <v>0</v>
      </c>
      <c r="I28" s="326"/>
      <c r="J28" s="326"/>
      <c r="K28" s="326"/>
      <c r="L28" s="326"/>
      <c r="M28" s="909"/>
      <c r="N28" s="759" t="str">
        <f>IF(I28="","NA",IF(M28="",'Building Data schedule'!$C$14,M28))</f>
        <v>NA</v>
      </c>
      <c r="O28" s="684">
        <f t="shared" si="3"/>
        <v>0</v>
      </c>
      <c r="P28" s="911" t="str">
        <f t="shared" si="4"/>
        <v/>
      </c>
      <c r="Q28" s="910">
        <f t="shared" si="5"/>
        <v>0</v>
      </c>
      <c r="R28" s="683">
        <f t="shared" si="6"/>
        <v>0</v>
      </c>
      <c r="S28" s="897" t="str">
        <f t="shared" si="7"/>
        <v/>
      </c>
      <c r="T28" s="709">
        <f t="shared" si="8"/>
        <v>0</v>
      </c>
      <c r="U28" s="893" t="str">
        <f t="shared" si="9"/>
        <v/>
      </c>
      <c r="V28" s="683">
        <f t="shared" si="10"/>
        <v>0.17</v>
      </c>
      <c r="W28" s="683">
        <f t="shared" si="11"/>
        <v>0</v>
      </c>
      <c r="X28" s="683" t="str">
        <f t="shared" si="12"/>
        <v/>
      </c>
      <c r="Y28" s="690"/>
      <c r="Z28" s="695"/>
      <c r="AC28" s="8"/>
      <c r="AD28" s="5"/>
      <c r="AE28" s="5"/>
    </row>
    <row r="29" spans="2:31" s="628" customFormat="1" x14ac:dyDescent="0.25">
      <c r="B29" s="341"/>
      <c r="C29" s="321"/>
      <c r="D29" s="342"/>
      <c r="E29" s="326"/>
      <c r="F29" s="326"/>
      <c r="G29" s="326"/>
      <c r="H29" s="277">
        <f t="shared" si="15"/>
        <v>0</v>
      </c>
      <c r="I29" s="326"/>
      <c r="J29" s="326"/>
      <c r="K29" s="326"/>
      <c r="L29" s="326"/>
      <c r="M29" s="909"/>
      <c r="N29" s="759" t="str">
        <f>IF(I29="","NA",IF(M29="",'Building Data schedule'!$C$14,M29))</f>
        <v>NA</v>
      </c>
      <c r="O29" s="684">
        <f t="shared" si="3"/>
        <v>0</v>
      </c>
      <c r="P29" s="911" t="str">
        <f t="shared" si="4"/>
        <v/>
      </c>
      <c r="Q29" s="910">
        <f t="shared" si="5"/>
        <v>0</v>
      </c>
      <c r="R29" s="683">
        <f t="shared" si="6"/>
        <v>0</v>
      </c>
      <c r="S29" s="897" t="str">
        <f t="shared" si="7"/>
        <v/>
      </c>
      <c r="T29" s="709">
        <f t="shared" si="8"/>
        <v>0</v>
      </c>
      <c r="U29" s="893" t="str">
        <f t="shared" si="9"/>
        <v/>
      </c>
      <c r="V29" s="683">
        <f t="shared" si="10"/>
        <v>0.17</v>
      </c>
      <c r="W29" s="683">
        <f t="shared" si="11"/>
        <v>0</v>
      </c>
      <c r="X29" s="683" t="str">
        <f t="shared" si="12"/>
        <v/>
      </c>
      <c r="Y29" s="690"/>
      <c r="Z29" s="695"/>
      <c r="AC29" s="8"/>
      <c r="AD29" s="5"/>
      <c r="AE29" s="5"/>
    </row>
    <row r="30" spans="2:31" s="628" customFormat="1" x14ac:dyDescent="0.25">
      <c r="B30" s="341"/>
      <c r="C30" s="321"/>
      <c r="D30" s="342"/>
      <c r="E30" s="326"/>
      <c r="F30" s="326"/>
      <c r="G30" s="326"/>
      <c r="H30" s="277">
        <f t="shared" si="15"/>
        <v>0</v>
      </c>
      <c r="I30" s="326"/>
      <c r="J30" s="326"/>
      <c r="K30" s="326"/>
      <c r="L30" s="326"/>
      <c r="M30" s="909"/>
      <c r="N30" s="759" t="str">
        <f>IF(I30="","NA",IF(M30="",'Building Data schedule'!$C$14,M30))</f>
        <v>NA</v>
      </c>
      <c r="O30" s="684">
        <f t="shared" si="3"/>
        <v>0</v>
      </c>
      <c r="P30" s="911" t="str">
        <f t="shared" si="4"/>
        <v/>
      </c>
      <c r="Q30" s="910">
        <f t="shared" si="5"/>
        <v>0</v>
      </c>
      <c r="R30" s="683">
        <f t="shared" si="6"/>
        <v>0</v>
      </c>
      <c r="S30" s="897" t="str">
        <f t="shared" si="7"/>
        <v/>
      </c>
      <c r="T30" s="709">
        <f t="shared" si="8"/>
        <v>0</v>
      </c>
      <c r="U30" s="893" t="str">
        <f t="shared" si="9"/>
        <v/>
      </c>
      <c r="V30" s="683">
        <f t="shared" si="10"/>
        <v>0.17</v>
      </c>
      <c r="W30" s="683">
        <f t="shared" si="11"/>
        <v>0</v>
      </c>
      <c r="X30" s="683" t="str">
        <f t="shared" si="12"/>
        <v/>
      </c>
      <c r="Y30" s="690"/>
      <c r="Z30" s="695"/>
      <c r="AC30" s="5"/>
      <c r="AD30" s="5"/>
      <c r="AE30" s="5"/>
    </row>
    <row r="31" spans="2:31" s="628" customFormat="1" x14ac:dyDescent="0.25">
      <c r="B31" s="341"/>
      <c r="C31" s="321"/>
      <c r="D31" s="342"/>
      <c r="E31" s="326"/>
      <c r="F31" s="326"/>
      <c r="G31" s="326"/>
      <c r="H31" s="277">
        <f t="shared" si="15"/>
        <v>0</v>
      </c>
      <c r="I31" s="326"/>
      <c r="J31" s="326"/>
      <c r="K31" s="326"/>
      <c r="L31" s="326"/>
      <c r="M31" s="909"/>
      <c r="N31" s="759" t="str">
        <f>IF(I31="","NA",IF(M31="",'Building Data schedule'!$C$14,M31))</f>
        <v>NA</v>
      </c>
      <c r="O31" s="684">
        <f t="shared" si="3"/>
        <v>0</v>
      </c>
      <c r="P31" s="911" t="str">
        <f t="shared" si="4"/>
        <v/>
      </c>
      <c r="Q31" s="910">
        <f t="shared" si="5"/>
        <v>0</v>
      </c>
      <c r="R31" s="683">
        <f t="shared" si="6"/>
        <v>0</v>
      </c>
      <c r="S31" s="897" t="str">
        <f t="shared" si="7"/>
        <v/>
      </c>
      <c r="T31" s="709">
        <f t="shared" si="8"/>
        <v>0</v>
      </c>
      <c r="U31" s="893" t="str">
        <f t="shared" si="9"/>
        <v/>
      </c>
      <c r="V31" s="683">
        <f t="shared" si="10"/>
        <v>0.17</v>
      </c>
      <c r="W31" s="683">
        <f t="shared" si="11"/>
        <v>0</v>
      </c>
      <c r="X31" s="683" t="str">
        <f t="shared" si="12"/>
        <v/>
      </c>
      <c r="Y31" s="690"/>
      <c r="Z31" s="695"/>
      <c r="AC31" s="5"/>
      <c r="AD31" s="5"/>
      <c r="AE31" s="5"/>
    </row>
    <row r="32" spans="2:31" s="628" customFormat="1" x14ac:dyDescent="0.25">
      <c r="B32" s="341"/>
      <c r="C32" s="321"/>
      <c r="D32" s="342"/>
      <c r="E32" s="326"/>
      <c r="F32" s="326"/>
      <c r="G32" s="326"/>
      <c r="H32" s="277">
        <f t="shared" si="15"/>
        <v>0</v>
      </c>
      <c r="I32" s="326"/>
      <c r="J32" s="326"/>
      <c r="K32" s="326"/>
      <c r="L32" s="326"/>
      <c r="M32" s="909"/>
      <c r="N32" s="759" t="str">
        <f>IF(I32="","NA",IF(M32="",'Building Data schedule'!$C$14,M32))</f>
        <v>NA</v>
      </c>
      <c r="O32" s="684">
        <f t="shared" si="3"/>
        <v>0</v>
      </c>
      <c r="P32" s="911" t="str">
        <f t="shared" si="4"/>
        <v/>
      </c>
      <c r="Q32" s="910">
        <f t="shared" si="5"/>
        <v>0</v>
      </c>
      <c r="R32" s="683">
        <f t="shared" si="6"/>
        <v>0</v>
      </c>
      <c r="S32" s="897" t="str">
        <f t="shared" si="7"/>
        <v/>
      </c>
      <c r="T32" s="709">
        <f t="shared" si="8"/>
        <v>0</v>
      </c>
      <c r="U32" s="893" t="str">
        <f t="shared" si="9"/>
        <v/>
      </c>
      <c r="V32" s="683">
        <f t="shared" si="10"/>
        <v>0.17</v>
      </c>
      <c r="W32" s="683">
        <f t="shared" si="11"/>
        <v>0</v>
      </c>
      <c r="X32" s="683" t="str">
        <f t="shared" si="12"/>
        <v/>
      </c>
      <c r="Y32" s="690"/>
      <c r="Z32" s="695"/>
      <c r="AC32" s="5"/>
      <c r="AD32" s="5"/>
      <c r="AE32" s="5"/>
    </row>
    <row r="33" spans="2:31" s="628" customFormat="1" x14ac:dyDescent="0.25">
      <c r="B33" s="341"/>
      <c r="C33" s="321"/>
      <c r="D33" s="342"/>
      <c r="E33" s="326"/>
      <c r="F33" s="326"/>
      <c r="G33" s="326"/>
      <c r="H33" s="277">
        <f t="shared" si="15"/>
        <v>0</v>
      </c>
      <c r="I33" s="326"/>
      <c r="J33" s="326"/>
      <c r="K33" s="326"/>
      <c r="L33" s="326"/>
      <c r="M33" s="909"/>
      <c r="N33" s="759" t="str">
        <f>IF(I33="","NA",IF(M33="",'Building Data schedule'!$C$14,M33))</f>
        <v>NA</v>
      </c>
      <c r="O33" s="684">
        <f t="shared" si="3"/>
        <v>0</v>
      </c>
      <c r="P33" s="911" t="str">
        <f t="shared" si="4"/>
        <v/>
      </c>
      <c r="Q33" s="910">
        <f t="shared" si="5"/>
        <v>0</v>
      </c>
      <c r="R33" s="683">
        <f t="shared" si="6"/>
        <v>0</v>
      </c>
      <c r="S33" s="897" t="str">
        <f t="shared" si="7"/>
        <v/>
      </c>
      <c r="T33" s="709">
        <f t="shared" si="8"/>
        <v>0</v>
      </c>
      <c r="U33" s="893" t="str">
        <f t="shared" si="9"/>
        <v/>
      </c>
      <c r="V33" s="683">
        <f t="shared" si="10"/>
        <v>0.17</v>
      </c>
      <c r="W33" s="683">
        <f t="shared" si="11"/>
        <v>0</v>
      </c>
      <c r="X33" s="683" t="str">
        <f t="shared" si="12"/>
        <v/>
      </c>
      <c r="Y33" s="690"/>
      <c r="Z33" s="695"/>
      <c r="AC33" s="5"/>
      <c r="AD33" s="5"/>
      <c r="AE33" s="5"/>
    </row>
    <row r="34" spans="2:31" s="628" customFormat="1" x14ac:dyDescent="0.25">
      <c r="B34" s="341"/>
      <c r="C34" s="321"/>
      <c r="D34" s="342"/>
      <c r="E34" s="326"/>
      <c r="F34" s="326"/>
      <c r="G34" s="326"/>
      <c r="H34" s="277">
        <f t="shared" si="15"/>
        <v>0</v>
      </c>
      <c r="I34" s="326"/>
      <c r="J34" s="326"/>
      <c r="K34" s="326"/>
      <c r="L34" s="326"/>
      <c r="M34" s="909"/>
      <c r="N34" s="759" t="str">
        <f>IF(I34="","NA",IF(M34="",'Building Data schedule'!$C$14,M34))</f>
        <v>NA</v>
      </c>
      <c r="O34" s="684">
        <f t="shared" si="3"/>
        <v>0</v>
      </c>
      <c r="P34" s="911" t="str">
        <f t="shared" si="4"/>
        <v/>
      </c>
      <c r="Q34" s="910">
        <f t="shared" si="5"/>
        <v>0</v>
      </c>
      <c r="R34" s="683">
        <f t="shared" si="6"/>
        <v>0</v>
      </c>
      <c r="S34" s="897" t="str">
        <f t="shared" si="7"/>
        <v/>
      </c>
      <c r="T34" s="709">
        <f t="shared" si="8"/>
        <v>0</v>
      </c>
      <c r="U34" s="893" t="str">
        <f t="shared" si="9"/>
        <v/>
      </c>
      <c r="V34" s="683">
        <f t="shared" si="10"/>
        <v>0.17</v>
      </c>
      <c r="W34" s="683">
        <f t="shared" si="11"/>
        <v>0</v>
      </c>
      <c r="X34" s="683" t="str">
        <f t="shared" si="12"/>
        <v/>
      </c>
      <c r="Y34" s="690"/>
      <c r="Z34" s="695"/>
      <c r="AC34" s="5"/>
      <c r="AD34" s="5"/>
      <c r="AE34" s="5"/>
    </row>
    <row r="35" spans="2:31" s="628" customFormat="1" x14ac:dyDescent="0.25">
      <c r="B35" s="341"/>
      <c r="C35" s="321"/>
      <c r="D35" s="342"/>
      <c r="E35" s="326"/>
      <c r="F35" s="326"/>
      <c r="G35" s="326"/>
      <c r="H35" s="277">
        <f>E35*F35*G35</f>
        <v>0</v>
      </c>
      <c r="I35" s="326"/>
      <c r="J35" s="326"/>
      <c r="K35" s="326"/>
      <c r="L35" s="326"/>
      <c r="M35" s="909"/>
      <c r="N35" s="759" t="str">
        <f>IF(I35="","NA",IF(M35="",'Building Data schedule'!$C$14,M35))</f>
        <v>NA</v>
      </c>
      <c r="O35" s="684">
        <f t="shared" si="3"/>
        <v>0</v>
      </c>
      <c r="P35" s="911" t="str">
        <f t="shared" si="4"/>
        <v/>
      </c>
      <c r="Q35" s="910">
        <f t="shared" si="5"/>
        <v>0</v>
      </c>
      <c r="R35" s="683">
        <f t="shared" si="6"/>
        <v>0</v>
      </c>
      <c r="S35" s="897" t="str">
        <f t="shared" si="7"/>
        <v/>
      </c>
      <c r="T35" s="709">
        <f t="shared" si="8"/>
        <v>0</v>
      </c>
      <c r="U35" s="893" t="str">
        <f t="shared" si="9"/>
        <v/>
      </c>
      <c r="V35" s="683">
        <f t="shared" si="10"/>
        <v>0.17</v>
      </c>
      <c r="W35" s="683">
        <f t="shared" si="11"/>
        <v>0</v>
      </c>
      <c r="X35" s="683" t="str">
        <f t="shared" si="12"/>
        <v/>
      </c>
      <c r="Y35" s="690"/>
      <c r="Z35" s="695"/>
      <c r="AC35" s="5"/>
      <c r="AD35" s="5"/>
      <c r="AE35" s="5"/>
    </row>
    <row r="36" spans="2:31" s="628" customFormat="1" x14ac:dyDescent="0.25">
      <c r="B36" s="341"/>
      <c r="C36" s="321"/>
      <c r="D36" s="342"/>
      <c r="E36" s="326"/>
      <c r="F36" s="326"/>
      <c r="G36" s="326"/>
      <c r="H36" s="277">
        <f>E36*F36*G36</f>
        <v>0</v>
      </c>
      <c r="I36" s="326"/>
      <c r="J36" s="326"/>
      <c r="K36" s="326"/>
      <c r="L36" s="326"/>
      <c r="M36" s="909"/>
      <c r="N36" s="759" t="str">
        <f>IF(I36="","NA",IF(M36="",'Building Data schedule'!$C$14,M36))</f>
        <v>NA</v>
      </c>
      <c r="O36" s="684">
        <f t="shared" si="3"/>
        <v>0</v>
      </c>
      <c r="P36" s="911" t="str">
        <f t="shared" si="4"/>
        <v/>
      </c>
      <c r="Q36" s="910">
        <f t="shared" si="5"/>
        <v>0</v>
      </c>
      <c r="R36" s="683">
        <f t="shared" si="6"/>
        <v>0</v>
      </c>
      <c r="S36" s="897" t="str">
        <f t="shared" si="7"/>
        <v/>
      </c>
      <c r="T36" s="709">
        <f t="shared" si="8"/>
        <v>0</v>
      </c>
      <c r="U36" s="893" t="str">
        <f t="shared" si="9"/>
        <v/>
      </c>
      <c r="V36" s="683">
        <f t="shared" si="10"/>
        <v>0.17</v>
      </c>
      <c r="W36" s="683">
        <f t="shared" si="11"/>
        <v>0</v>
      </c>
      <c r="X36" s="683" t="str">
        <f t="shared" si="12"/>
        <v/>
      </c>
      <c r="Y36" s="690"/>
      <c r="Z36" s="695"/>
      <c r="AC36" s="8"/>
      <c r="AD36" s="5"/>
      <c r="AE36" s="5"/>
    </row>
    <row r="37" spans="2:31" s="628" customFormat="1" x14ac:dyDescent="0.25">
      <c r="B37" s="341"/>
      <c r="C37" s="321"/>
      <c r="D37" s="342"/>
      <c r="E37" s="326"/>
      <c r="F37" s="326"/>
      <c r="G37" s="326"/>
      <c r="H37" s="277">
        <f t="shared" ref="H37:H44" si="16">E37*F37*G37</f>
        <v>0</v>
      </c>
      <c r="I37" s="326"/>
      <c r="J37" s="326"/>
      <c r="K37" s="326"/>
      <c r="L37" s="326"/>
      <c r="M37" s="909"/>
      <c r="N37" s="759" t="str">
        <f>IF(I37="","NA",IF(M37="",'Building Data schedule'!$C$14,M37))</f>
        <v>NA</v>
      </c>
      <c r="O37" s="684">
        <f t="shared" si="3"/>
        <v>0</v>
      </c>
      <c r="P37" s="911" t="str">
        <f t="shared" si="4"/>
        <v/>
      </c>
      <c r="Q37" s="910">
        <f t="shared" si="5"/>
        <v>0</v>
      </c>
      <c r="R37" s="683">
        <f t="shared" si="6"/>
        <v>0</v>
      </c>
      <c r="S37" s="897" t="str">
        <f t="shared" si="7"/>
        <v/>
      </c>
      <c r="T37" s="709">
        <f t="shared" si="8"/>
        <v>0</v>
      </c>
      <c r="U37" s="893" t="str">
        <f t="shared" si="9"/>
        <v/>
      </c>
      <c r="V37" s="683">
        <f t="shared" si="10"/>
        <v>0.17</v>
      </c>
      <c r="W37" s="683">
        <f t="shared" si="11"/>
        <v>0</v>
      </c>
      <c r="X37" s="683" t="str">
        <f t="shared" si="12"/>
        <v/>
      </c>
      <c r="Y37" s="690"/>
      <c r="Z37" s="695"/>
      <c r="AC37" s="8"/>
      <c r="AD37" s="5"/>
      <c r="AE37" s="5"/>
    </row>
    <row r="38" spans="2:31" s="628" customFormat="1" x14ac:dyDescent="0.25">
      <c r="B38" s="341"/>
      <c r="C38" s="321"/>
      <c r="D38" s="342"/>
      <c r="E38" s="326"/>
      <c r="F38" s="326"/>
      <c r="G38" s="326"/>
      <c r="H38" s="277">
        <f t="shared" si="16"/>
        <v>0</v>
      </c>
      <c r="I38" s="326"/>
      <c r="J38" s="326"/>
      <c r="K38" s="326"/>
      <c r="L38" s="326"/>
      <c r="M38" s="909"/>
      <c r="N38" s="759" t="str">
        <f>IF(I38="","NA",IF(M38="",'Building Data schedule'!$C$14,M38))</f>
        <v>NA</v>
      </c>
      <c r="O38" s="684">
        <f t="shared" si="3"/>
        <v>0</v>
      </c>
      <c r="P38" s="911" t="str">
        <f t="shared" si="4"/>
        <v/>
      </c>
      <c r="Q38" s="910">
        <f t="shared" si="5"/>
        <v>0</v>
      </c>
      <c r="R38" s="683">
        <f t="shared" si="6"/>
        <v>0</v>
      </c>
      <c r="S38" s="897" t="str">
        <f t="shared" si="7"/>
        <v/>
      </c>
      <c r="T38" s="709">
        <f t="shared" si="8"/>
        <v>0</v>
      </c>
      <c r="U38" s="893" t="str">
        <f t="shared" si="9"/>
        <v/>
      </c>
      <c r="V38" s="683">
        <f t="shared" si="10"/>
        <v>0.17</v>
      </c>
      <c r="W38" s="683">
        <f t="shared" si="11"/>
        <v>0</v>
      </c>
      <c r="X38" s="683" t="str">
        <f t="shared" si="12"/>
        <v/>
      </c>
      <c r="Y38" s="690"/>
      <c r="Z38" s="695"/>
      <c r="AC38" s="8"/>
      <c r="AD38" s="5"/>
      <c r="AE38" s="5"/>
    </row>
    <row r="39" spans="2:31" s="628" customFormat="1" x14ac:dyDescent="0.25">
      <c r="B39" s="341"/>
      <c r="C39" s="321"/>
      <c r="D39" s="342"/>
      <c r="E39" s="326"/>
      <c r="F39" s="326"/>
      <c r="G39" s="326"/>
      <c r="H39" s="277">
        <f t="shared" si="16"/>
        <v>0</v>
      </c>
      <c r="I39" s="326"/>
      <c r="J39" s="326"/>
      <c r="K39" s="326"/>
      <c r="L39" s="326"/>
      <c r="M39" s="909"/>
      <c r="N39" s="759" t="str">
        <f>IF(I39="","NA",IF(M39="",'Building Data schedule'!$C$14,M39))</f>
        <v>NA</v>
      </c>
      <c r="O39" s="684">
        <f t="shared" si="3"/>
        <v>0</v>
      </c>
      <c r="P39" s="911" t="str">
        <f t="shared" si="4"/>
        <v/>
      </c>
      <c r="Q39" s="910">
        <f t="shared" si="5"/>
        <v>0</v>
      </c>
      <c r="R39" s="683">
        <f t="shared" si="6"/>
        <v>0</v>
      </c>
      <c r="S39" s="897" t="str">
        <f t="shared" si="7"/>
        <v/>
      </c>
      <c r="T39" s="709">
        <f t="shared" si="8"/>
        <v>0</v>
      </c>
      <c r="U39" s="893" t="str">
        <f t="shared" si="9"/>
        <v/>
      </c>
      <c r="V39" s="683">
        <f t="shared" si="10"/>
        <v>0.17</v>
      </c>
      <c r="W39" s="683">
        <f t="shared" si="11"/>
        <v>0</v>
      </c>
      <c r="X39" s="683" t="str">
        <f t="shared" si="12"/>
        <v/>
      </c>
      <c r="Y39" s="690"/>
      <c r="Z39" s="695"/>
      <c r="AC39" s="8"/>
      <c r="AD39" s="5"/>
      <c r="AE39" s="5"/>
    </row>
    <row r="40" spans="2:31" s="628" customFormat="1" x14ac:dyDescent="0.25">
      <c r="B40" s="341"/>
      <c r="C40" s="321"/>
      <c r="D40" s="342"/>
      <c r="E40" s="326"/>
      <c r="F40" s="326"/>
      <c r="G40" s="326"/>
      <c r="H40" s="277">
        <f t="shared" si="16"/>
        <v>0</v>
      </c>
      <c r="I40" s="326"/>
      <c r="J40" s="326"/>
      <c r="K40" s="326"/>
      <c r="L40" s="326"/>
      <c r="M40" s="909"/>
      <c r="N40" s="759" t="str">
        <f>IF(I40="","NA",IF(M40="",'Building Data schedule'!$C$14,M40))</f>
        <v>NA</v>
      </c>
      <c r="O40" s="684">
        <f t="shared" si="3"/>
        <v>0</v>
      </c>
      <c r="P40" s="911" t="str">
        <f t="shared" si="4"/>
        <v/>
      </c>
      <c r="Q40" s="910">
        <f t="shared" si="5"/>
        <v>0</v>
      </c>
      <c r="R40" s="683">
        <f t="shared" si="6"/>
        <v>0</v>
      </c>
      <c r="S40" s="897" t="str">
        <f t="shared" si="7"/>
        <v/>
      </c>
      <c r="T40" s="709">
        <f t="shared" si="8"/>
        <v>0</v>
      </c>
      <c r="U40" s="893" t="str">
        <f t="shared" si="9"/>
        <v/>
      </c>
      <c r="V40" s="683">
        <f t="shared" si="10"/>
        <v>0.17</v>
      </c>
      <c r="W40" s="683">
        <f t="shared" si="11"/>
        <v>0</v>
      </c>
      <c r="X40" s="683" t="str">
        <f t="shared" si="12"/>
        <v/>
      </c>
      <c r="Y40" s="690"/>
      <c r="Z40" s="695"/>
      <c r="AC40" s="5"/>
      <c r="AD40" s="5"/>
      <c r="AE40" s="5"/>
    </row>
    <row r="41" spans="2:31" s="628" customFormat="1" x14ac:dyDescent="0.25">
      <c r="B41" s="341"/>
      <c r="C41" s="321"/>
      <c r="D41" s="342"/>
      <c r="E41" s="326"/>
      <c r="F41" s="326"/>
      <c r="G41" s="326"/>
      <c r="H41" s="277">
        <f t="shared" si="16"/>
        <v>0</v>
      </c>
      <c r="I41" s="326"/>
      <c r="J41" s="326"/>
      <c r="K41" s="326"/>
      <c r="L41" s="326"/>
      <c r="M41" s="909"/>
      <c r="N41" s="759" t="str">
        <f>IF(I41="","NA",IF(M41="",'Building Data schedule'!$C$14,M41))</f>
        <v>NA</v>
      </c>
      <c r="O41" s="684">
        <f t="shared" si="3"/>
        <v>0</v>
      </c>
      <c r="P41" s="911" t="str">
        <f t="shared" si="4"/>
        <v/>
      </c>
      <c r="Q41" s="910">
        <f t="shared" si="5"/>
        <v>0</v>
      </c>
      <c r="R41" s="683">
        <f t="shared" si="6"/>
        <v>0</v>
      </c>
      <c r="S41" s="897" t="str">
        <f t="shared" si="7"/>
        <v/>
      </c>
      <c r="T41" s="709">
        <f t="shared" si="8"/>
        <v>0</v>
      </c>
      <c r="U41" s="893" t="str">
        <f t="shared" si="9"/>
        <v/>
      </c>
      <c r="V41" s="683">
        <f t="shared" si="10"/>
        <v>0.17</v>
      </c>
      <c r="W41" s="683">
        <f t="shared" si="11"/>
        <v>0</v>
      </c>
      <c r="X41" s="683" t="str">
        <f t="shared" si="12"/>
        <v/>
      </c>
      <c r="Y41" s="690"/>
      <c r="Z41" s="695"/>
      <c r="AC41" s="5"/>
      <c r="AD41" s="5"/>
      <c r="AE41" s="5"/>
    </row>
    <row r="42" spans="2:31" s="628" customFormat="1" x14ac:dyDescent="0.25">
      <c r="B42" s="341"/>
      <c r="C42" s="321"/>
      <c r="D42" s="342"/>
      <c r="E42" s="326"/>
      <c r="F42" s="326"/>
      <c r="G42" s="326"/>
      <c r="H42" s="277">
        <f t="shared" si="16"/>
        <v>0</v>
      </c>
      <c r="I42" s="326"/>
      <c r="J42" s="326"/>
      <c r="K42" s="326"/>
      <c r="L42" s="326"/>
      <c r="M42" s="909"/>
      <c r="N42" s="759" t="str">
        <f>IF(I42="","NA",IF(M42="",'Building Data schedule'!$C$14,M42))</f>
        <v>NA</v>
      </c>
      <c r="O42" s="684">
        <f t="shared" si="3"/>
        <v>0</v>
      </c>
      <c r="P42" s="911" t="str">
        <f t="shared" si="4"/>
        <v/>
      </c>
      <c r="Q42" s="910">
        <f t="shared" si="5"/>
        <v>0</v>
      </c>
      <c r="R42" s="683">
        <f t="shared" si="6"/>
        <v>0</v>
      </c>
      <c r="S42" s="897" t="str">
        <f t="shared" si="7"/>
        <v/>
      </c>
      <c r="T42" s="709">
        <f t="shared" si="8"/>
        <v>0</v>
      </c>
      <c r="U42" s="893" t="str">
        <f t="shared" si="9"/>
        <v/>
      </c>
      <c r="V42" s="683">
        <f t="shared" si="10"/>
        <v>0.17</v>
      </c>
      <c r="W42" s="683">
        <f t="shared" si="11"/>
        <v>0</v>
      </c>
      <c r="X42" s="683" t="str">
        <f t="shared" si="12"/>
        <v/>
      </c>
      <c r="Y42" s="690"/>
      <c r="Z42" s="695"/>
      <c r="AC42" s="5"/>
      <c r="AD42" s="5"/>
      <c r="AE42" s="5"/>
    </row>
    <row r="43" spans="2:31" s="628" customFormat="1" x14ac:dyDescent="0.25">
      <c r="B43" s="341"/>
      <c r="C43" s="321"/>
      <c r="D43" s="342"/>
      <c r="E43" s="326"/>
      <c r="F43" s="326"/>
      <c r="G43" s="326"/>
      <c r="H43" s="277">
        <f t="shared" si="16"/>
        <v>0</v>
      </c>
      <c r="I43" s="326"/>
      <c r="J43" s="326"/>
      <c r="K43" s="326"/>
      <c r="L43" s="326"/>
      <c r="M43" s="909"/>
      <c r="N43" s="759" t="str">
        <f>IF(I43="","NA",IF(M43="",'Building Data schedule'!$C$14,M43))</f>
        <v>NA</v>
      </c>
      <c r="O43" s="684">
        <f t="shared" si="3"/>
        <v>0</v>
      </c>
      <c r="P43" s="911" t="str">
        <f t="shared" si="4"/>
        <v/>
      </c>
      <c r="Q43" s="910">
        <f t="shared" si="5"/>
        <v>0</v>
      </c>
      <c r="R43" s="683">
        <f t="shared" si="6"/>
        <v>0</v>
      </c>
      <c r="S43" s="897" t="str">
        <f t="shared" si="7"/>
        <v/>
      </c>
      <c r="T43" s="709">
        <f t="shared" si="8"/>
        <v>0</v>
      </c>
      <c r="U43" s="893" t="str">
        <f t="shared" si="9"/>
        <v/>
      </c>
      <c r="V43" s="683">
        <f t="shared" si="10"/>
        <v>0.17</v>
      </c>
      <c r="W43" s="683">
        <f t="shared" si="11"/>
        <v>0</v>
      </c>
      <c r="X43" s="683" t="str">
        <f t="shared" si="12"/>
        <v/>
      </c>
      <c r="Y43" s="690"/>
      <c r="Z43" s="695"/>
      <c r="AC43" s="5"/>
      <c r="AD43" s="5"/>
      <c r="AE43" s="5"/>
    </row>
    <row r="44" spans="2:31" s="628" customFormat="1" x14ac:dyDescent="0.25">
      <c r="B44" s="341"/>
      <c r="C44" s="321"/>
      <c r="D44" s="342"/>
      <c r="E44" s="326"/>
      <c r="F44" s="326"/>
      <c r="G44" s="326"/>
      <c r="H44" s="277">
        <f t="shared" si="16"/>
        <v>0</v>
      </c>
      <c r="I44" s="326"/>
      <c r="J44" s="326"/>
      <c r="K44" s="326"/>
      <c r="L44" s="326"/>
      <c r="M44" s="909"/>
      <c r="N44" s="759" t="str">
        <f>IF(I44="","NA",IF(M44="",'Building Data schedule'!$C$14,M44))</f>
        <v>NA</v>
      </c>
      <c r="O44" s="684">
        <f t="shared" si="3"/>
        <v>0</v>
      </c>
      <c r="P44" s="911" t="str">
        <f t="shared" si="4"/>
        <v/>
      </c>
      <c r="Q44" s="910">
        <f t="shared" si="5"/>
        <v>0</v>
      </c>
      <c r="R44" s="683">
        <f t="shared" si="6"/>
        <v>0</v>
      </c>
      <c r="S44" s="897" t="str">
        <f t="shared" si="7"/>
        <v/>
      </c>
      <c r="T44" s="709">
        <f t="shared" si="8"/>
        <v>0</v>
      </c>
      <c r="U44" s="893" t="str">
        <f t="shared" si="9"/>
        <v/>
      </c>
      <c r="V44" s="683">
        <f t="shared" si="10"/>
        <v>0.17</v>
      </c>
      <c r="W44" s="683">
        <f t="shared" si="11"/>
        <v>0</v>
      </c>
      <c r="X44" s="683" t="str">
        <f t="shared" si="12"/>
        <v/>
      </c>
      <c r="Y44" s="690"/>
      <c r="Z44" s="695"/>
      <c r="AC44" s="5"/>
      <c r="AD44" s="5"/>
      <c r="AE44" s="5"/>
    </row>
    <row r="45" spans="2:31" s="628" customFormat="1" x14ac:dyDescent="0.25">
      <c r="B45" s="341"/>
      <c r="C45" s="321"/>
      <c r="D45" s="342"/>
      <c r="E45" s="326"/>
      <c r="F45" s="326"/>
      <c r="G45" s="326"/>
      <c r="H45" s="277">
        <f>E45*F45*G45</f>
        <v>0</v>
      </c>
      <c r="I45" s="326"/>
      <c r="J45" s="326"/>
      <c r="K45" s="326"/>
      <c r="L45" s="326"/>
      <c r="M45" s="909"/>
      <c r="N45" s="759" t="str">
        <f>IF(I45="","NA",IF(M45="",'Building Data schedule'!$C$14,M45))</f>
        <v>NA</v>
      </c>
      <c r="O45" s="684">
        <f t="shared" si="3"/>
        <v>0</v>
      </c>
      <c r="P45" s="911" t="str">
        <f t="shared" si="4"/>
        <v/>
      </c>
      <c r="Q45" s="910">
        <f t="shared" si="5"/>
        <v>0</v>
      </c>
      <c r="R45" s="683">
        <f t="shared" si="6"/>
        <v>0</v>
      </c>
      <c r="S45" s="897" t="str">
        <f t="shared" si="7"/>
        <v/>
      </c>
      <c r="T45" s="709">
        <f t="shared" si="8"/>
        <v>0</v>
      </c>
      <c r="U45" s="893" t="str">
        <f t="shared" si="9"/>
        <v/>
      </c>
      <c r="V45" s="683">
        <f t="shared" si="10"/>
        <v>0.17</v>
      </c>
      <c r="W45" s="683">
        <f t="shared" si="11"/>
        <v>0</v>
      </c>
      <c r="X45" s="683" t="str">
        <f t="shared" si="12"/>
        <v/>
      </c>
      <c r="Y45" s="690"/>
      <c r="Z45" s="695"/>
      <c r="AC45" s="5"/>
      <c r="AD45" s="5"/>
      <c r="AE45" s="5"/>
    </row>
    <row r="46" spans="2:31" s="628" customFormat="1" x14ac:dyDescent="0.25">
      <c r="B46" s="341"/>
      <c r="C46" s="321"/>
      <c r="D46" s="342"/>
      <c r="E46" s="326"/>
      <c r="F46" s="326"/>
      <c r="G46" s="326"/>
      <c r="H46" s="277">
        <f>E46*F46*G46</f>
        <v>0</v>
      </c>
      <c r="I46" s="326"/>
      <c r="J46" s="326"/>
      <c r="K46" s="326"/>
      <c r="L46" s="326"/>
      <c r="M46" s="909"/>
      <c r="N46" s="759" t="str">
        <f>IF(I46="","NA",IF(M46="",'Building Data schedule'!$C$14,M46))</f>
        <v>NA</v>
      </c>
      <c r="O46" s="684">
        <f t="shared" si="3"/>
        <v>0</v>
      </c>
      <c r="P46" s="911" t="str">
        <f t="shared" si="4"/>
        <v/>
      </c>
      <c r="Q46" s="910">
        <f t="shared" si="5"/>
        <v>0</v>
      </c>
      <c r="R46" s="683">
        <f t="shared" si="6"/>
        <v>0</v>
      </c>
      <c r="S46" s="897" t="str">
        <f t="shared" si="7"/>
        <v/>
      </c>
      <c r="T46" s="709">
        <f t="shared" si="8"/>
        <v>0</v>
      </c>
      <c r="U46" s="893" t="str">
        <f t="shared" si="9"/>
        <v/>
      </c>
      <c r="V46" s="683">
        <f t="shared" si="10"/>
        <v>0.17</v>
      </c>
      <c r="W46" s="683">
        <f t="shared" si="11"/>
        <v>0</v>
      </c>
      <c r="X46" s="683" t="str">
        <f t="shared" si="12"/>
        <v/>
      </c>
      <c r="Y46" s="690"/>
      <c r="Z46" s="695"/>
      <c r="AC46" s="8"/>
      <c r="AD46" s="5"/>
      <c r="AE46" s="5"/>
    </row>
    <row r="47" spans="2:31" s="628" customFormat="1" x14ac:dyDescent="0.25">
      <c r="B47" s="341"/>
      <c r="C47" s="321"/>
      <c r="D47" s="342"/>
      <c r="E47" s="326"/>
      <c r="F47" s="326"/>
      <c r="G47" s="326"/>
      <c r="H47" s="277">
        <f t="shared" ref="H47:H50" si="17">E47*F47*G47</f>
        <v>0</v>
      </c>
      <c r="I47" s="326"/>
      <c r="J47" s="326"/>
      <c r="K47" s="326"/>
      <c r="L47" s="326"/>
      <c r="M47" s="909"/>
      <c r="N47" s="759" t="str">
        <f>IF(I47="","NA",IF(M47="",'Building Data schedule'!$C$14,M47))</f>
        <v>NA</v>
      </c>
      <c r="O47" s="684">
        <f t="shared" si="3"/>
        <v>0</v>
      </c>
      <c r="P47" s="911" t="str">
        <f t="shared" si="4"/>
        <v/>
      </c>
      <c r="Q47" s="910">
        <f t="shared" si="5"/>
        <v>0</v>
      </c>
      <c r="R47" s="683">
        <f t="shared" si="6"/>
        <v>0</v>
      </c>
      <c r="S47" s="897" t="str">
        <f t="shared" si="7"/>
        <v/>
      </c>
      <c r="T47" s="709">
        <f t="shared" si="8"/>
        <v>0</v>
      </c>
      <c r="U47" s="893" t="str">
        <f t="shared" si="9"/>
        <v/>
      </c>
      <c r="V47" s="683">
        <f t="shared" si="10"/>
        <v>0.17</v>
      </c>
      <c r="W47" s="683">
        <f t="shared" si="11"/>
        <v>0</v>
      </c>
      <c r="X47" s="683" t="str">
        <f t="shared" si="12"/>
        <v/>
      </c>
      <c r="Y47" s="690"/>
      <c r="Z47" s="695"/>
      <c r="AC47" s="8"/>
      <c r="AD47" s="5"/>
      <c r="AE47" s="5"/>
    </row>
    <row r="48" spans="2:31" s="628" customFormat="1" x14ac:dyDescent="0.25">
      <c r="B48" s="341"/>
      <c r="C48" s="321"/>
      <c r="D48" s="342"/>
      <c r="E48" s="326"/>
      <c r="F48" s="326"/>
      <c r="G48" s="326"/>
      <c r="H48" s="277">
        <f t="shared" si="17"/>
        <v>0</v>
      </c>
      <c r="I48" s="326"/>
      <c r="J48" s="326"/>
      <c r="K48" s="326"/>
      <c r="L48" s="326"/>
      <c r="M48" s="909"/>
      <c r="N48" s="759" t="str">
        <f>IF(I48="","NA",IF(M48="",'Building Data schedule'!$C$14,M48))</f>
        <v>NA</v>
      </c>
      <c r="O48" s="684">
        <f t="shared" si="3"/>
        <v>0</v>
      </c>
      <c r="P48" s="911" t="str">
        <f t="shared" si="4"/>
        <v/>
      </c>
      <c r="Q48" s="910">
        <f t="shared" si="5"/>
        <v>0</v>
      </c>
      <c r="R48" s="683">
        <f t="shared" si="6"/>
        <v>0</v>
      </c>
      <c r="S48" s="897" t="str">
        <f t="shared" si="7"/>
        <v/>
      </c>
      <c r="T48" s="709">
        <f t="shared" si="8"/>
        <v>0</v>
      </c>
      <c r="U48" s="893" t="str">
        <f t="shared" si="9"/>
        <v/>
      </c>
      <c r="V48" s="683">
        <f t="shared" si="10"/>
        <v>0.17</v>
      </c>
      <c r="W48" s="683">
        <f t="shared" si="11"/>
        <v>0</v>
      </c>
      <c r="X48" s="683" t="str">
        <f t="shared" si="12"/>
        <v/>
      </c>
      <c r="Y48" s="690"/>
      <c r="Z48" s="695"/>
      <c r="AC48" s="8"/>
      <c r="AD48" s="5"/>
      <c r="AE48" s="5"/>
    </row>
    <row r="49" spans="2:31" s="628" customFormat="1" x14ac:dyDescent="0.25">
      <c r="B49" s="341"/>
      <c r="C49" s="321"/>
      <c r="D49" s="342"/>
      <c r="E49" s="326"/>
      <c r="F49" s="326"/>
      <c r="G49" s="326"/>
      <c r="H49" s="277">
        <f t="shared" si="17"/>
        <v>0</v>
      </c>
      <c r="I49" s="326"/>
      <c r="J49" s="326"/>
      <c r="K49" s="326"/>
      <c r="L49" s="326"/>
      <c r="M49" s="909"/>
      <c r="N49" s="759" t="str">
        <f>IF(I49="","NA",IF(M49="",'Building Data schedule'!$C$14,M49))</f>
        <v>NA</v>
      </c>
      <c r="O49" s="684">
        <f t="shared" si="3"/>
        <v>0</v>
      </c>
      <c r="P49" s="911" t="str">
        <f t="shared" si="4"/>
        <v/>
      </c>
      <c r="Q49" s="910">
        <f t="shared" si="5"/>
        <v>0</v>
      </c>
      <c r="R49" s="683">
        <f t="shared" si="6"/>
        <v>0</v>
      </c>
      <c r="S49" s="897" t="str">
        <f t="shared" si="7"/>
        <v/>
      </c>
      <c r="T49" s="709">
        <f t="shared" si="8"/>
        <v>0</v>
      </c>
      <c r="U49" s="893" t="str">
        <f t="shared" si="9"/>
        <v/>
      </c>
      <c r="V49" s="683">
        <f t="shared" si="10"/>
        <v>0.17</v>
      </c>
      <c r="W49" s="683">
        <f t="shared" si="11"/>
        <v>0</v>
      </c>
      <c r="X49" s="683" t="str">
        <f t="shared" si="12"/>
        <v/>
      </c>
      <c r="Y49" s="690"/>
      <c r="Z49" s="695"/>
      <c r="AC49" s="8"/>
      <c r="AD49" s="5"/>
      <c r="AE49" s="5"/>
    </row>
    <row r="50" spans="2:31" s="628" customFormat="1" x14ac:dyDescent="0.25">
      <c r="B50" s="341"/>
      <c r="C50" s="321"/>
      <c r="D50" s="342"/>
      <c r="E50" s="326"/>
      <c r="F50" s="326"/>
      <c r="G50" s="326"/>
      <c r="H50" s="277">
        <f t="shared" si="17"/>
        <v>0</v>
      </c>
      <c r="I50" s="326"/>
      <c r="J50" s="326"/>
      <c r="K50" s="326"/>
      <c r="L50" s="326"/>
      <c r="M50" s="909"/>
      <c r="N50" s="759" t="str">
        <f>IF(I50="","NA",IF(M50="",'Building Data schedule'!$C$14,M50))</f>
        <v>NA</v>
      </c>
      <c r="O50" s="684">
        <f t="shared" si="3"/>
        <v>0</v>
      </c>
      <c r="P50" s="911" t="str">
        <f t="shared" si="4"/>
        <v/>
      </c>
      <c r="Q50" s="910">
        <f t="shared" si="5"/>
        <v>0</v>
      </c>
      <c r="R50" s="683">
        <f t="shared" si="6"/>
        <v>0</v>
      </c>
      <c r="S50" s="897" t="str">
        <f t="shared" si="7"/>
        <v/>
      </c>
      <c r="T50" s="709">
        <f t="shared" si="8"/>
        <v>0</v>
      </c>
      <c r="U50" s="893" t="str">
        <f t="shared" si="9"/>
        <v/>
      </c>
      <c r="V50" s="683">
        <f t="shared" si="10"/>
        <v>0.17</v>
      </c>
      <c r="W50" s="683">
        <f t="shared" si="11"/>
        <v>0</v>
      </c>
      <c r="X50" s="683" t="str">
        <f t="shared" si="12"/>
        <v/>
      </c>
      <c r="Y50" s="690"/>
      <c r="Z50" s="695"/>
      <c r="AC50" s="5"/>
      <c r="AD50" s="5"/>
      <c r="AE50" s="5"/>
    </row>
    <row r="51" spans="2:31" x14ac:dyDescent="0.25">
      <c r="B51" s="341"/>
      <c r="C51" s="321"/>
      <c r="D51" s="342"/>
      <c r="E51" s="326"/>
      <c r="F51" s="326"/>
      <c r="G51" s="326"/>
      <c r="H51" s="277">
        <f t="shared" si="2"/>
        <v>0</v>
      </c>
      <c r="I51" s="326"/>
      <c r="J51" s="326"/>
      <c r="K51" s="326"/>
      <c r="L51" s="326"/>
      <c r="M51" s="909"/>
      <c r="N51" s="759" t="str">
        <f>IF(I51="","NA",IF(M51="",'Building Data schedule'!$C$14,M51))</f>
        <v>NA</v>
      </c>
      <c r="O51" s="684">
        <f t="shared" si="3"/>
        <v>0</v>
      </c>
      <c r="P51" s="911" t="str">
        <f t="shared" si="4"/>
        <v/>
      </c>
      <c r="Q51" s="910">
        <f t="shared" si="5"/>
        <v>0</v>
      </c>
      <c r="R51" s="683">
        <f t="shared" si="6"/>
        <v>0</v>
      </c>
      <c r="S51" s="897" t="str">
        <f t="shared" si="7"/>
        <v/>
      </c>
      <c r="T51" s="709">
        <f t="shared" si="8"/>
        <v>0</v>
      </c>
      <c r="U51" s="893" t="str">
        <f t="shared" si="9"/>
        <v/>
      </c>
      <c r="V51" s="683">
        <f t="shared" si="10"/>
        <v>0.17</v>
      </c>
      <c r="W51" s="683">
        <f t="shared" si="11"/>
        <v>0</v>
      </c>
      <c r="X51" s="683" t="str">
        <f t="shared" si="12"/>
        <v/>
      </c>
      <c r="Y51" s="690"/>
      <c r="Z51" s="695"/>
      <c r="AC51" s="670"/>
    </row>
    <row r="52" spans="2:31" ht="15" customHeight="1" x14ac:dyDescent="0.25">
      <c r="B52" s="341"/>
      <c r="C52" s="321"/>
      <c r="D52" s="342"/>
      <c r="E52" s="326"/>
      <c r="F52" s="326"/>
      <c r="G52" s="326"/>
      <c r="H52" s="277">
        <f t="shared" si="2"/>
        <v>0</v>
      </c>
      <c r="I52" s="326"/>
      <c r="J52" s="326"/>
      <c r="K52" s="326"/>
      <c r="L52" s="326"/>
      <c r="M52" s="909"/>
      <c r="N52" s="759" t="str">
        <f>IF(I52="","NA",IF(M52="",'Building Data schedule'!$C$14,M52))</f>
        <v>NA</v>
      </c>
      <c r="O52" s="684">
        <f t="shared" si="3"/>
        <v>0</v>
      </c>
      <c r="P52" s="911" t="str">
        <f t="shared" si="4"/>
        <v/>
      </c>
      <c r="Q52" s="910">
        <f t="shared" si="5"/>
        <v>0</v>
      </c>
      <c r="R52" s="683">
        <f t="shared" si="6"/>
        <v>0</v>
      </c>
      <c r="S52" s="897" t="str">
        <f t="shared" si="7"/>
        <v/>
      </c>
      <c r="T52" s="709">
        <f t="shared" si="8"/>
        <v>0</v>
      </c>
      <c r="U52" s="893" t="str">
        <f t="shared" si="9"/>
        <v/>
      </c>
      <c r="V52" s="683">
        <f t="shared" si="10"/>
        <v>0.17</v>
      </c>
      <c r="W52" s="683">
        <f t="shared" si="11"/>
        <v>0</v>
      </c>
      <c r="X52" s="683" t="str">
        <f t="shared" si="12"/>
        <v/>
      </c>
      <c r="Y52" s="690"/>
      <c r="Z52" s="695"/>
      <c r="AC52" s="968"/>
      <c r="AD52" s="968"/>
      <c r="AE52" s="968"/>
    </row>
    <row r="53" spans="2:31" ht="15" customHeight="1" x14ac:dyDescent="0.25">
      <c r="B53" s="341"/>
      <c r="C53" s="321"/>
      <c r="D53" s="342"/>
      <c r="E53" s="326"/>
      <c r="F53" s="326"/>
      <c r="G53" s="326"/>
      <c r="H53" s="277">
        <f t="shared" si="2"/>
        <v>0</v>
      </c>
      <c r="I53" s="326"/>
      <c r="J53" s="326"/>
      <c r="K53" s="326"/>
      <c r="L53" s="326"/>
      <c r="M53" s="909"/>
      <c r="N53" s="759" t="str">
        <f>IF(I53="","NA",IF(M53="",'Building Data schedule'!$C$14,M53))</f>
        <v>NA</v>
      </c>
      <c r="O53" s="684">
        <f t="shared" si="3"/>
        <v>0</v>
      </c>
      <c r="P53" s="911" t="str">
        <f t="shared" si="4"/>
        <v/>
      </c>
      <c r="Q53" s="910">
        <f t="shared" si="5"/>
        <v>0</v>
      </c>
      <c r="R53" s="683">
        <f t="shared" si="6"/>
        <v>0</v>
      </c>
      <c r="S53" s="897" t="str">
        <f t="shared" si="7"/>
        <v/>
      </c>
      <c r="T53" s="709">
        <f t="shared" si="8"/>
        <v>0</v>
      </c>
      <c r="U53" s="893" t="str">
        <f t="shared" si="9"/>
        <v/>
      </c>
      <c r="V53" s="683">
        <f t="shared" si="10"/>
        <v>0.17</v>
      </c>
      <c r="W53" s="683">
        <f t="shared" si="11"/>
        <v>0</v>
      </c>
      <c r="X53" s="683" t="str">
        <f t="shared" si="12"/>
        <v/>
      </c>
      <c r="Y53" s="690"/>
      <c r="Z53" s="695"/>
      <c r="AC53" s="968"/>
      <c r="AD53" s="968"/>
      <c r="AE53" s="968"/>
    </row>
    <row r="54" spans="2:31" ht="15" customHeight="1" x14ac:dyDescent="0.25">
      <c r="B54" s="341"/>
      <c r="C54" s="321"/>
      <c r="D54" s="342"/>
      <c r="E54" s="326"/>
      <c r="F54" s="326"/>
      <c r="G54" s="326"/>
      <c r="H54" s="277">
        <f t="shared" si="2"/>
        <v>0</v>
      </c>
      <c r="I54" s="326"/>
      <c r="J54" s="326"/>
      <c r="K54" s="326"/>
      <c r="L54" s="326"/>
      <c r="M54" s="909"/>
      <c r="N54" s="759" t="str">
        <f>IF(I54="","NA",IF(M54="",'Building Data schedule'!$C$14,M54))</f>
        <v>NA</v>
      </c>
      <c r="O54" s="684">
        <f t="shared" si="3"/>
        <v>0</v>
      </c>
      <c r="P54" s="911" t="str">
        <f t="shared" si="4"/>
        <v/>
      </c>
      <c r="Q54" s="910">
        <f t="shared" si="5"/>
        <v>0</v>
      </c>
      <c r="R54" s="683">
        <f t="shared" si="6"/>
        <v>0</v>
      </c>
      <c r="S54" s="897" t="str">
        <f t="shared" si="7"/>
        <v/>
      </c>
      <c r="T54" s="709">
        <f t="shared" si="8"/>
        <v>0</v>
      </c>
      <c r="U54" s="893" t="str">
        <f t="shared" si="9"/>
        <v/>
      </c>
      <c r="V54" s="683">
        <f t="shared" si="10"/>
        <v>0.17</v>
      </c>
      <c r="W54" s="683">
        <f t="shared" si="11"/>
        <v>0</v>
      </c>
      <c r="X54" s="683" t="str">
        <f t="shared" si="12"/>
        <v/>
      </c>
      <c r="Y54" s="690"/>
      <c r="Z54" s="695"/>
      <c r="AC54" s="968"/>
      <c r="AD54" s="968"/>
      <c r="AE54" s="968"/>
    </row>
    <row r="55" spans="2:31" ht="15" customHeight="1" x14ac:dyDescent="0.25">
      <c r="B55" s="341"/>
      <c r="C55" s="321"/>
      <c r="D55" s="342"/>
      <c r="E55" s="326"/>
      <c r="F55" s="326"/>
      <c r="G55" s="326"/>
      <c r="H55" s="277">
        <f t="shared" si="2"/>
        <v>0</v>
      </c>
      <c r="I55" s="326"/>
      <c r="J55" s="326"/>
      <c r="K55" s="326"/>
      <c r="L55" s="326"/>
      <c r="M55" s="909"/>
      <c r="N55" s="759" t="str">
        <f>IF(I55="","NA",IF(M55="",'Building Data schedule'!$C$14,M55))</f>
        <v>NA</v>
      </c>
      <c r="O55" s="684">
        <f t="shared" si="3"/>
        <v>0</v>
      </c>
      <c r="P55" s="911" t="str">
        <f t="shared" si="4"/>
        <v/>
      </c>
      <c r="Q55" s="910">
        <f t="shared" si="5"/>
        <v>0</v>
      </c>
      <c r="R55" s="683">
        <f t="shared" si="6"/>
        <v>0</v>
      </c>
      <c r="S55" s="897" t="str">
        <f t="shared" si="7"/>
        <v/>
      </c>
      <c r="T55" s="709">
        <f t="shared" si="8"/>
        <v>0</v>
      </c>
      <c r="U55" s="893" t="str">
        <f t="shared" si="9"/>
        <v/>
      </c>
      <c r="V55" s="683">
        <f t="shared" si="10"/>
        <v>0.17</v>
      </c>
      <c r="W55" s="683">
        <f t="shared" si="11"/>
        <v>0</v>
      </c>
      <c r="X55" s="683" t="str">
        <f t="shared" si="12"/>
        <v/>
      </c>
      <c r="Y55" s="690"/>
      <c r="Z55" s="695"/>
      <c r="AC55" s="968"/>
      <c r="AD55" s="968"/>
      <c r="AE55" s="968"/>
    </row>
    <row r="56" spans="2:31" ht="15" customHeight="1" x14ac:dyDescent="0.25">
      <c r="B56" s="341"/>
      <c r="C56" s="321"/>
      <c r="D56" s="342"/>
      <c r="E56" s="326"/>
      <c r="F56" s="326"/>
      <c r="G56" s="326"/>
      <c r="H56" s="277">
        <f t="shared" si="2"/>
        <v>0</v>
      </c>
      <c r="I56" s="326"/>
      <c r="J56" s="326"/>
      <c r="K56" s="326"/>
      <c r="L56" s="326"/>
      <c r="M56" s="909"/>
      <c r="N56" s="759" t="str">
        <f>IF(I56="","NA",IF(M56="",'Building Data schedule'!$C$14,M56))</f>
        <v>NA</v>
      </c>
      <c r="O56" s="684">
        <f t="shared" si="3"/>
        <v>0</v>
      </c>
      <c r="P56" s="911" t="str">
        <f t="shared" si="4"/>
        <v/>
      </c>
      <c r="Q56" s="910">
        <f t="shared" si="5"/>
        <v>0</v>
      </c>
      <c r="R56" s="683">
        <f t="shared" si="6"/>
        <v>0</v>
      </c>
      <c r="S56" s="897" t="str">
        <f t="shared" si="7"/>
        <v/>
      </c>
      <c r="T56" s="709">
        <f t="shared" si="8"/>
        <v>0</v>
      </c>
      <c r="U56" s="893" t="str">
        <f t="shared" si="9"/>
        <v/>
      </c>
      <c r="V56" s="683">
        <f t="shared" si="10"/>
        <v>0.17</v>
      </c>
      <c r="W56" s="683">
        <f t="shared" si="11"/>
        <v>0</v>
      </c>
      <c r="X56" s="683" t="str">
        <f t="shared" si="12"/>
        <v/>
      </c>
      <c r="Y56" s="690"/>
      <c r="Z56" s="695"/>
      <c r="AC56" s="968"/>
      <c r="AD56" s="968"/>
      <c r="AE56" s="968"/>
    </row>
    <row r="57" spans="2:31" ht="15" customHeight="1" x14ac:dyDescent="0.25">
      <c r="B57" s="341"/>
      <c r="C57" s="321"/>
      <c r="D57" s="342"/>
      <c r="E57" s="326"/>
      <c r="F57" s="326"/>
      <c r="G57" s="326"/>
      <c r="H57" s="277">
        <f>E57*F57*G57</f>
        <v>0</v>
      </c>
      <c r="I57" s="326"/>
      <c r="J57" s="326"/>
      <c r="K57" s="326"/>
      <c r="L57" s="326"/>
      <c r="M57" s="909"/>
      <c r="N57" s="759" t="str">
        <f>IF(I57="","NA",IF(M57="",'Building Data schedule'!$C$14,M57))</f>
        <v>NA</v>
      </c>
      <c r="O57" s="684">
        <f t="shared" si="3"/>
        <v>0</v>
      </c>
      <c r="P57" s="911" t="str">
        <f t="shared" si="4"/>
        <v/>
      </c>
      <c r="Q57" s="910">
        <f t="shared" si="5"/>
        <v>0</v>
      </c>
      <c r="R57" s="683">
        <f t="shared" si="6"/>
        <v>0</v>
      </c>
      <c r="S57" s="897" t="str">
        <f t="shared" si="7"/>
        <v/>
      </c>
      <c r="T57" s="709">
        <f t="shared" si="8"/>
        <v>0</v>
      </c>
      <c r="U57" s="893" t="str">
        <f t="shared" si="9"/>
        <v/>
      </c>
      <c r="V57" s="683">
        <f t="shared" si="10"/>
        <v>0.17</v>
      </c>
      <c r="W57" s="683">
        <f t="shared" si="11"/>
        <v>0</v>
      </c>
      <c r="X57" s="683" t="str">
        <f t="shared" si="12"/>
        <v/>
      </c>
      <c r="Y57" s="690"/>
      <c r="Z57" s="695"/>
      <c r="AC57" s="968"/>
      <c r="AD57" s="968"/>
      <c r="AE57" s="968"/>
    </row>
    <row r="58" spans="2:31" ht="15" customHeight="1" x14ac:dyDescent="0.25">
      <c r="B58" s="341"/>
      <c r="C58" s="321"/>
      <c r="D58" s="342"/>
      <c r="E58" s="326"/>
      <c r="F58" s="326"/>
      <c r="G58" s="326"/>
      <c r="H58" s="277">
        <f t="shared" ref="H58:H186" si="18">E58*F58*G58</f>
        <v>0</v>
      </c>
      <c r="I58" s="326"/>
      <c r="J58" s="326"/>
      <c r="K58" s="326"/>
      <c r="L58" s="326"/>
      <c r="M58" s="909"/>
      <c r="N58" s="759" t="str">
        <f>IF(I58="","NA",IF(M58="",'Building Data schedule'!$C$14,M58))</f>
        <v>NA</v>
      </c>
      <c r="O58" s="684">
        <f t="shared" si="3"/>
        <v>0</v>
      </c>
      <c r="P58" s="911" t="str">
        <f t="shared" si="4"/>
        <v/>
      </c>
      <c r="Q58" s="910">
        <f t="shared" si="5"/>
        <v>0</v>
      </c>
      <c r="R58" s="683">
        <f t="shared" si="6"/>
        <v>0</v>
      </c>
      <c r="S58" s="897" t="str">
        <f t="shared" si="7"/>
        <v/>
      </c>
      <c r="T58" s="709">
        <f t="shared" si="8"/>
        <v>0</v>
      </c>
      <c r="U58" s="893" t="str">
        <f t="shared" si="9"/>
        <v/>
      </c>
      <c r="V58" s="683">
        <f t="shared" si="10"/>
        <v>0.17</v>
      </c>
      <c r="W58" s="683">
        <f t="shared" si="11"/>
        <v>0</v>
      </c>
      <c r="X58" s="683" t="str">
        <f t="shared" si="12"/>
        <v/>
      </c>
      <c r="Y58" s="690"/>
      <c r="Z58" s="695"/>
      <c r="AC58" s="968"/>
      <c r="AD58" s="968"/>
      <c r="AE58" s="968"/>
    </row>
    <row r="59" spans="2:31" ht="15" customHeight="1" x14ac:dyDescent="0.25">
      <c r="B59" s="341"/>
      <c r="C59" s="321"/>
      <c r="D59" s="342"/>
      <c r="E59" s="326"/>
      <c r="F59" s="326"/>
      <c r="G59" s="326"/>
      <c r="H59" s="277">
        <f t="shared" si="18"/>
        <v>0</v>
      </c>
      <c r="I59" s="326"/>
      <c r="J59" s="326"/>
      <c r="K59" s="326"/>
      <c r="L59" s="326"/>
      <c r="M59" s="909"/>
      <c r="N59" s="759" t="str">
        <f>IF(I59="","NA",IF(M59="",'Building Data schedule'!$C$14,M59))</f>
        <v>NA</v>
      </c>
      <c r="O59" s="684">
        <f t="shared" si="3"/>
        <v>0</v>
      </c>
      <c r="P59" s="911" t="str">
        <f t="shared" si="4"/>
        <v/>
      </c>
      <c r="Q59" s="910">
        <f t="shared" si="5"/>
        <v>0</v>
      </c>
      <c r="R59" s="683">
        <f t="shared" si="6"/>
        <v>0</v>
      </c>
      <c r="S59" s="897" t="str">
        <f t="shared" si="7"/>
        <v/>
      </c>
      <c r="T59" s="709">
        <f t="shared" si="8"/>
        <v>0</v>
      </c>
      <c r="U59" s="893" t="str">
        <f t="shared" si="9"/>
        <v/>
      </c>
      <c r="V59" s="683">
        <f t="shared" si="10"/>
        <v>0.17</v>
      </c>
      <c r="W59" s="683">
        <f t="shared" si="11"/>
        <v>0</v>
      </c>
      <c r="X59" s="683" t="str">
        <f t="shared" si="12"/>
        <v/>
      </c>
      <c r="Y59" s="690"/>
      <c r="Z59" s="695"/>
      <c r="AC59" s="968"/>
      <c r="AD59" s="968"/>
      <c r="AE59" s="968"/>
    </row>
    <row r="60" spans="2:31" ht="15" customHeight="1" x14ac:dyDescent="0.25">
      <c r="B60" s="341"/>
      <c r="C60" s="321"/>
      <c r="D60" s="342"/>
      <c r="E60" s="326"/>
      <c r="F60" s="326"/>
      <c r="G60" s="326"/>
      <c r="H60" s="277">
        <f t="shared" si="18"/>
        <v>0</v>
      </c>
      <c r="I60" s="326"/>
      <c r="J60" s="326"/>
      <c r="K60" s="326"/>
      <c r="L60" s="326"/>
      <c r="M60" s="909"/>
      <c r="N60" s="759" t="str">
        <f>IF(I60="","NA",IF(M60="",'Building Data schedule'!$C$14,M60))</f>
        <v>NA</v>
      </c>
      <c r="O60" s="684">
        <f t="shared" si="3"/>
        <v>0</v>
      </c>
      <c r="P60" s="911" t="str">
        <f t="shared" si="4"/>
        <v/>
      </c>
      <c r="Q60" s="910">
        <f t="shared" si="5"/>
        <v>0</v>
      </c>
      <c r="R60" s="683">
        <f t="shared" si="6"/>
        <v>0</v>
      </c>
      <c r="S60" s="897" t="str">
        <f t="shared" si="7"/>
        <v/>
      </c>
      <c r="T60" s="709">
        <f t="shared" si="8"/>
        <v>0</v>
      </c>
      <c r="U60" s="893" t="str">
        <f t="shared" si="9"/>
        <v/>
      </c>
      <c r="V60" s="683">
        <f t="shared" si="10"/>
        <v>0.17</v>
      </c>
      <c r="W60" s="683">
        <f t="shared" si="11"/>
        <v>0</v>
      </c>
      <c r="X60" s="683" t="str">
        <f t="shared" si="12"/>
        <v/>
      </c>
      <c r="Y60" s="690"/>
      <c r="Z60" s="695"/>
      <c r="AC60" s="968"/>
      <c r="AD60" s="968"/>
      <c r="AE60" s="968"/>
    </row>
    <row r="61" spans="2:31" x14ac:dyDescent="0.25">
      <c r="B61" s="341"/>
      <c r="C61" s="321"/>
      <c r="D61" s="342"/>
      <c r="E61" s="326"/>
      <c r="F61" s="326"/>
      <c r="G61" s="326"/>
      <c r="H61" s="277">
        <f t="shared" si="18"/>
        <v>0</v>
      </c>
      <c r="I61" s="326"/>
      <c r="J61" s="326"/>
      <c r="K61" s="326"/>
      <c r="L61" s="326"/>
      <c r="M61" s="909"/>
      <c r="N61" s="759" t="str">
        <f>IF(I61="","NA",IF(M61="",'Building Data schedule'!$C$14,M61))</f>
        <v>NA</v>
      </c>
      <c r="O61" s="684">
        <f t="shared" si="3"/>
        <v>0</v>
      </c>
      <c r="P61" s="911" t="str">
        <f t="shared" si="4"/>
        <v/>
      </c>
      <c r="Q61" s="910">
        <f t="shared" si="5"/>
        <v>0</v>
      </c>
      <c r="R61" s="683">
        <f t="shared" si="6"/>
        <v>0</v>
      </c>
      <c r="S61" s="897" t="str">
        <f t="shared" si="7"/>
        <v/>
      </c>
      <c r="T61" s="709">
        <f t="shared" si="8"/>
        <v>0</v>
      </c>
      <c r="U61" s="893" t="str">
        <f t="shared" si="9"/>
        <v/>
      </c>
      <c r="V61" s="683">
        <f t="shared" si="10"/>
        <v>0.17</v>
      </c>
      <c r="W61" s="683">
        <f t="shared" si="11"/>
        <v>0</v>
      </c>
      <c r="X61" s="683" t="str">
        <f t="shared" si="12"/>
        <v/>
      </c>
      <c r="Y61" s="690"/>
      <c r="Z61" s="695"/>
      <c r="AC61" s="5"/>
      <c r="AD61" s="5"/>
      <c r="AE61" s="5"/>
    </row>
    <row r="62" spans="2:31" x14ac:dyDescent="0.25">
      <c r="B62" s="341"/>
      <c r="C62" s="321"/>
      <c r="D62" s="342"/>
      <c r="E62" s="326"/>
      <c r="F62" s="326"/>
      <c r="G62" s="326"/>
      <c r="H62" s="277">
        <f t="shared" si="18"/>
        <v>0</v>
      </c>
      <c r="I62" s="326"/>
      <c r="J62" s="326"/>
      <c r="K62" s="326"/>
      <c r="L62" s="326"/>
      <c r="M62" s="909"/>
      <c r="N62" s="759" t="str">
        <f>IF(I62="","NA",IF(M62="",'Building Data schedule'!$C$14,M62))</f>
        <v>NA</v>
      </c>
      <c r="O62" s="684">
        <f t="shared" si="3"/>
        <v>0</v>
      </c>
      <c r="P62" s="911" t="str">
        <f t="shared" si="4"/>
        <v/>
      </c>
      <c r="Q62" s="910">
        <f t="shared" si="5"/>
        <v>0</v>
      </c>
      <c r="R62" s="683">
        <f t="shared" si="6"/>
        <v>0</v>
      </c>
      <c r="S62" s="897" t="str">
        <f t="shared" si="7"/>
        <v/>
      </c>
      <c r="T62" s="709">
        <f t="shared" si="8"/>
        <v>0</v>
      </c>
      <c r="U62" s="893" t="str">
        <f t="shared" si="9"/>
        <v/>
      </c>
      <c r="V62" s="683">
        <f t="shared" si="10"/>
        <v>0.17</v>
      </c>
      <c r="W62" s="683">
        <f t="shared" si="11"/>
        <v>0</v>
      </c>
      <c r="X62" s="683" t="str">
        <f t="shared" si="12"/>
        <v/>
      </c>
      <c r="Y62" s="690"/>
      <c r="Z62" s="695"/>
      <c r="AC62" s="5"/>
      <c r="AD62" s="5"/>
      <c r="AE62" s="5"/>
    </row>
    <row r="63" spans="2:31" x14ac:dyDescent="0.25">
      <c r="B63" s="341"/>
      <c r="C63" s="321"/>
      <c r="D63" s="342"/>
      <c r="E63" s="326"/>
      <c r="F63" s="326"/>
      <c r="G63" s="326"/>
      <c r="H63" s="277">
        <f t="shared" si="18"/>
        <v>0</v>
      </c>
      <c r="I63" s="326"/>
      <c r="J63" s="326"/>
      <c r="K63" s="326"/>
      <c r="L63" s="326"/>
      <c r="M63" s="909"/>
      <c r="N63" s="759" t="str">
        <f>IF(I63="","NA",IF(M63="",'Building Data schedule'!$C$14,M63))</f>
        <v>NA</v>
      </c>
      <c r="O63" s="684">
        <f t="shared" si="3"/>
        <v>0</v>
      </c>
      <c r="P63" s="911" t="str">
        <f t="shared" si="4"/>
        <v/>
      </c>
      <c r="Q63" s="910">
        <f t="shared" si="5"/>
        <v>0</v>
      </c>
      <c r="R63" s="683">
        <f t="shared" si="6"/>
        <v>0</v>
      </c>
      <c r="S63" s="897" t="str">
        <f t="shared" si="7"/>
        <v/>
      </c>
      <c r="T63" s="709">
        <f t="shared" si="8"/>
        <v>0</v>
      </c>
      <c r="U63" s="893" t="str">
        <f t="shared" si="9"/>
        <v/>
      </c>
      <c r="V63" s="683">
        <f t="shared" si="10"/>
        <v>0.17</v>
      </c>
      <c r="W63" s="683">
        <f t="shared" si="11"/>
        <v>0</v>
      </c>
      <c r="X63" s="683" t="str">
        <f t="shared" si="12"/>
        <v/>
      </c>
      <c r="Y63" s="690"/>
      <c r="Z63" s="695"/>
      <c r="AC63" s="5"/>
      <c r="AD63" s="5"/>
      <c r="AE63" s="5"/>
    </row>
    <row r="64" spans="2:31" x14ac:dyDescent="0.25">
      <c r="B64" s="341"/>
      <c r="C64" s="321"/>
      <c r="D64" s="342"/>
      <c r="E64" s="326"/>
      <c r="F64" s="326"/>
      <c r="G64" s="326"/>
      <c r="H64" s="277">
        <f t="shared" si="18"/>
        <v>0</v>
      </c>
      <c r="I64" s="326"/>
      <c r="J64" s="326"/>
      <c r="K64" s="326"/>
      <c r="L64" s="326"/>
      <c r="M64" s="909"/>
      <c r="N64" s="759" t="str">
        <f>IF(I64="","NA",IF(M64="",'Building Data schedule'!$C$14,M64))</f>
        <v>NA</v>
      </c>
      <c r="O64" s="684">
        <f t="shared" si="3"/>
        <v>0</v>
      </c>
      <c r="P64" s="911" t="str">
        <f t="shared" si="4"/>
        <v/>
      </c>
      <c r="Q64" s="910">
        <f t="shared" si="5"/>
        <v>0</v>
      </c>
      <c r="R64" s="683">
        <f t="shared" si="6"/>
        <v>0</v>
      </c>
      <c r="S64" s="897" t="str">
        <f t="shared" si="7"/>
        <v/>
      </c>
      <c r="T64" s="709">
        <f t="shared" si="8"/>
        <v>0</v>
      </c>
      <c r="U64" s="893" t="str">
        <f t="shared" si="9"/>
        <v/>
      </c>
      <c r="V64" s="683">
        <f t="shared" si="10"/>
        <v>0.17</v>
      </c>
      <c r="W64" s="683">
        <f t="shared" si="11"/>
        <v>0</v>
      </c>
      <c r="X64" s="683" t="str">
        <f t="shared" si="12"/>
        <v/>
      </c>
      <c r="Y64" s="690"/>
      <c r="Z64" s="695"/>
      <c r="AC64" s="5"/>
      <c r="AD64" s="5"/>
      <c r="AE64" s="5"/>
    </row>
    <row r="65" spans="2:31" x14ac:dyDescent="0.25">
      <c r="B65" s="341"/>
      <c r="C65" s="321"/>
      <c r="D65" s="342"/>
      <c r="E65" s="326"/>
      <c r="F65" s="326"/>
      <c r="G65" s="326"/>
      <c r="H65" s="277">
        <f t="shared" si="18"/>
        <v>0</v>
      </c>
      <c r="I65" s="326"/>
      <c r="J65" s="326"/>
      <c r="K65" s="326"/>
      <c r="L65" s="326"/>
      <c r="M65" s="909"/>
      <c r="N65" s="759" t="str">
        <f>IF(I65="","NA",IF(M65="",'Building Data schedule'!$C$14,M65))</f>
        <v>NA</v>
      </c>
      <c r="O65" s="684">
        <f t="shared" si="3"/>
        <v>0</v>
      </c>
      <c r="P65" s="911" t="str">
        <f t="shared" si="4"/>
        <v/>
      </c>
      <c r="Q65" s="910">
        <f t="shared" si="5"/>
        <v>0</v>
      </c>
      <c r="R65" s="683">
        <f t="shared" si="6"/>
        <v>0</v>
      </c>
      <c r="S65" s="897" t="str">
        <f t="shared" si="7"/>
        <v/>
      </c>
      <c r="T65" s="709">
        <f t="shared" si="8"/>
        <v>0</v>
      </c>
      <c r="U65" s="893" t="str">
        <f t="shared" si="9"/>
        <v/>
      </c>
      <c r="V65" s="683">
        <f t="shared" si="10"/>
        <v>0.17</v>
      </c>
      <c r="W65" s="683">
        <f t="shared" si="11"/>
        <v>0</v>
      </c>
      <c r="X65" s="683" t="str">
        <f t="shared" si="12"/>
        <v/>
      </c>
      <c r="Y65" s="690"/>
      <c r="Z65" s="695"/>
      <c r="AC65" s="5"/>
      <c r="AD65" s="5"/>
      <c r="AE65" s="5"/>
    </row>
    <row r="66" spans="2:31" x14ac:dyDescent="0.25">
      <c r="B66" s="341"/>
      <c r="C66" s="321"/>
      <c r="D66" s="342"/>
      <c r="E66" s="326"/>
      <c r="F66" s="326"/>
      <c r="G66" s="326"/>
      <c r="H66" s="277">
        <f>E66*F66*G66</f>
        <v>0</v>
      </c>
      <c r="I66" s="326"/>
      <c r="J66" s="326"/>
      <c r="K66" s="326"/>
      <c r="L66" s="326"/>
      <c r="M66" s="909"/>
      <c r="N66" s="759" t="str">
        <f>IF(I66="","NA",IF(M66="",'Building Data schedule'!$C$14,M66))</f>
        <v>NA</v>
      </c>
      <c r="O66" s="684">
        <f t="shared" si="3"/>
        <v>0</v>
      </c>
      <c r="P66" s="911" t="str">
        <f t="shared" si="4"/>
        <v/>
      </c>
      <c r="Q66" s="910">
        <f t="shared" si="5"/>
        <v>0</v>
      </c>
      <c r="R66" s="683">
        <f t="shared" si="6"/>
        <v>0</v>
      </c>
      <c r="S66" s="897" t="str">
        <f t="shared" si="7"/>
        <v/>
      </c>
      <c r="T66" s="709">
        <f t="shared" si="8"/>
        <v>0</v>
      </c>
      <c r="U66" s="893" t="str">
        <f t="shared" si="9"/>
        <v/>
      </c>
      <c r="V66" s="683">
        <f t="shared" si="10"/>
        <v>0.17</v>
      </c>
      <c r="W66" s="683">
        <f t="shared" si="11"/>
        <v>0</v>
      </c>
      <c r="X66" s="683" t="str">
        <f t="shared" si="12"/>
        <v/>
      </c>
      <c r="Y66" s="690"/>
      <c r="Z66" s="695"/>
      <c r="AC66" s="5"/>
      <c r="AD66" s="5"/>
      <c r="AE66" s="5"/>
    </row>
    <row r="67" spans="2:31" x14ac:dyDescent="0.25">
      <c r="B67" s="341"/>
      <c r="C67" s="321"/>
      <c r="D67" s="342"/>
      <c r="E67" s="326"/>
      <c r="F67" s="326"/>
      <c r="G67" s="326"/>
      <c r="H67" s="277">
        <f>E67*F67*G67</f>
        <v>0</v>
      </c>
      <c r="I67" s="326"/>
      <c r="J67" s="326"/>
      <c r="K67" s="326"/>
      <c r="L67" s="326"/>
      <c r="M67" s="909"/>
      <c r="N67" s="759" t="str">
        <f>IF(I67="","NA",IF(M67="",'Building Data schedule'!$C$14,M67))</f>
        <v>NA</v>
      </c>
      <c r="O67" s="684">
        <f t="shared" si="3"/>
        <v>0</v>
      </c>
      <c r="P67" s="911" t="str">
        <f t="shared" si="4"/>
        <v/>
      </c>
      <c r="Q67" s="910">
        <f t="shared" si="5"/>
        <v>0</v>
      </c>
      <c r="R67" s="683">
        <f t="shared" si="6"/>
        <v>0</v>
      </c>
      <c r="S67" s="897" t="str">
        <f t="shared" si="7"/>
        <v/>
      </c>
      <c r="T67" s="709">
        <f t="shared" si="8"/>
        <v>0</v>
      </c>
      <c r="U67" s="893" t="str">
        <f t="shared" si="9"/>
        <v/>
      </c>
      <c r="V67" s="683">
        <f t="shared" si="10"/>
        <v>0.17</v>
      </c>
      <c r="W67" s="683">
        <f t="shared" si="11"/>
        <v>0</v>
      </c>
      <c r="X67" s="683" t="str">
        <f t="shared" si="12"/>
        <v/>
      </c>
      <c r="Y67" s="690"/>
      <c r="Z67" s="695"/>
      <c r="AC67" s="8"/>
      <c r="AD67" s="5"/>
      <c r="AE67" s="5"/>
    </row>
    <row r="68" spans="2:31" x14ac:dyDescent="0.25">
      <c r="B68" s="341"/>
      <c r="C68" s="321"/>
      <c r="D68" s="342"/>
      <c r="E68" s="326"/>
      <c r="F68" s="326"/>
      <c r="G68" s="326"/>
      <c r="H68" s="277">
        <f t="shared" ref="H68:H70" si="19">E68*F68*G68</f>
        <v>0</v>
      </c>
      <c r="I68" s="326"/>
      <c r="J68" s="326"/>
      <c r="K68" s="326"/>
      <c r="L68" s="326"/>
      <c r="M68" s="909"/>
      <c r="N68" s="759" t="str">
        <f>IF(I68="","NA",IF(M68="",'Building Data schedule'!$C$14,M68))</f>
        <v>NA</v>
      </c>
      <c r="O68" s="684">
        <f t="shared" si="3"/>
        <v>0</v>
      </c>
      <c r="P68" s="911" t="str">
        <f t="shared" si="4"/>
        <v/>
      </c>
      <c r="Q68" s="910">
        <f t="shared" si="5"/>
        <v>0</v>
      </c>
      <c r="R68" s="683">
        <f t="shared" si="6"/>
        <v>0</v>
      </c>
      <c r="S68" s="897" t="str">
        <f t="shared" si="7"/>
        <v/>
      </c>
      <c r="T68" s="709">
        <f t="shared" si="8"/>
        <v>0</v>
      </c>
      <c r="U68" s="893" t="str">
        <f t="shared" si="9"/>
        <v/>
      </c>
      <c r="V68" s="683">
        <f t="shared" si="10"/>
        <v>0.17</v>
      </c>
      <c r="W68" s="683">
        <f t="shared" si="11"/>
        <v>0</v>
      </c>
      <c r="X68" s="683" t="str">
        <f t="shared" si="12"/>
        <v/>
      </c>
      <c r="Y68" s="690"/>
      <c r="Z68" s="695"/>
      <c r="AC68" s="8"/>
      <c r="AD68" s="5"/>
      <c r="AE68" s="5"/>
    </row>
    <row r="69" spans="2:31" x14ac:dyDescent="0.25">
      <c r="B69" s="341"/>
      <c r="C69" s="321"/>
      <c r="D69" s="342"/>
      <c r="E69" s="326"/>
      <c r="F69" s="326"/>
      <c r="G69" s="326"/>
      <c r="H69" s="277">
        <f t="shared" si="19"/>
        <v>0</v>
      </c>
      <c r="I69" s="326"/>
      <c r="J69" s="326"/>
      <c r="K69" s="326"/>
      <c r="L69" s="326"/>
      <c r="M69" s="909"/>
      <c r="N69" s="759" t="str">
        <f>IF(I69="","NA",IF(M69="",'Building Data schedule'!$C$14,M69))</f>
        <v>NA</v>
      </c>
      <c r="O69" s="684">
        <f t="shared" si="3"/>
        <v>0</v>
      </c>
      <c r="P69" s="911" t="str">
        <f t="shared" si="4"/>
        <v/>
      </c>
      <c r="Q69" s="910">
        <f t="shared" si="5"/>
        <v>0</v>
      </c>
      <c r="R69" s="683">
        <f t="shared" si="6"/>
        <v>0</v>
      </c>
      <c r="S69" s="897" t="str">
        <f t="shared" si="7"/>
        <v/>
      </c>
      <c r="T69" s="709">
        <f t="shared" si="8"/>
        <v>0</v>
      </c>
      <c r="U69" s="893" t="str">
        <f t="shared" si="9"/>
        <v/>
      </c>
      <c r="V69" s="683">
        <f t="shared" si="10"/>
        <v>0.17</v>
      </c>
      <c r="W69" s="683">
        <f t="shared" si="11"/>
        <v>0</v>
      </c>
      <c r="X69" s="683" t="str">
        <f t="shared" si="12"/>
        <v/>
      </c>
      <c r="Y69" s="690"/>
      <c r="Z69" s="695"/>
      <c r="AC69" s="8"/>
      <c r="AD69" s="5"/>
      <c r="AE69" s="5"/>
    </row>
    <row r="70" spans="2:31" x14ac:dyDescent="0.25">
      <c r="B70" s="341"/>
      <c r="C70" s="321"/>
      <c r="D70" s="342"/>
      <c r="E70" s="326"/>
      <c r="F70" s="326"/>
      <c r="G70" s="326"/>
      <c r="H70" s="277">
        <f t="shared" si="19"/>
        <v>0</v>
      </c>
      <c r="I70" s="326"/>
      <c r="J70" s="326"/>
      <c r="K70" s="326"/>
      <c r="L70" s="326"/>
      <c r="M70" s="909"/>
      <c r="N70" s="759" t="str">
        <f>IF(I70="","NA",IF(M70="",'Building Data schedule'!$C$14,M70))</f>
        <v>NA</v>
      </c>
      <c r="O70" s="684">
        <f t="shared" si="3"/>
        <v>0</v>
      </c>
      <c r="P70" s="911" t="str">
        <f t="shared" si="4"/>
        <v/>
      </c>
      <c r="Q70" s="910">
        <f t="shared" si="5"/>
        <v>0</v>
      </c>
      <c r="R70" s="683">
        <f t="shared" si="6"/>
        <v>0</v>
      </c>
      <c r="S70" s="897" t="str">
        <f t="shared" si="7"/>
        <v/>
      </c>
      <c r="T70" s="709">
        <f t="shared" si="8"/>
        <v>0</v>
      </c>
      <c r="U70" s="893" t="str">
        <f t="shared" si="9"/>
        <v/>
      </c>
      <c r="V70" s="683">
        <f t="shared" si="10"/>
        <v>0.17</v>
      </c>
      <c r="W70" s="683">
        <f t="shared" si="11"/>
        <v>0</v>
      </c>
      <c r="X70" s="683" t="str">
        <f t="shared" si="12"/>
        <v/>
      </c>
      <c r="Y70" s="690"/>
      <c r="Z70" s="695"/>
      <c r="AC70" s="8"/>
      <c r="AD70" s="5"/>
      <c r="AE70" s="5"/>
    </row>
    <row r="71" spans="2:31" x14ac:dyDescent="0.25">
      <c r="B71" s="341"/>
      <c r="C71" s="321"/>
      <c r="D71" s="342"/>
      <c r="E71" s="326"/>
      <c r="F71" s="326"/>
      <c r="G71" s="326"/>
      <c r="H71" s="277">
        <f t="shared" ref="H71:H75" si="20">E71*F71*G71</f>
        <v>0</v>
      </c>
      <c r="I71" s="326"/>
      <c r="J71" s="326"/>
      <c r="K71" s="326"/>
      <c r="L71" s="326"/>
      <c r="M71" s="909"/>
      <c r="N71" s="759" t="str">
        <f>IF(I71="","NA",IF(M71="",'Building Data schedule'!$C$14,M71))</f>
        <v>NA</v>
      </c>
      <c r="O71" s="684">
        <f t="shared" si="3"/>
        <v>0</v>
      </c>
      <c r="P71" s="911" t="str">
        <f t="shared" si="4"/>
        <v/>
      </c>
      <c r="Q71" s="910">
        <f t="shared" si="5"/>
        <v>0</v>
      </c>
      <c r="R71" s="683">
        <f t="shared" si="6"/>
        <v>0</v>
      </c>
      <c r="S71" s="897" t="str">
        <f t="shared" si="7"/>
        <v/>
      </c>
      <c r="T71" s="709">
        <f t="shared" si="8"/>
        <v>0</v>
      </c>
      <c r="U71" s="893" t="str">
        <f t="shared" si="9"/>
        <v/>
      </c>
      <c r="V71" s="683">
        <f t="shared" si="10"/>
        <v>0.17</v>
      </c>
      <c r="W71" s="683">
        <f t="shared" si="11"/>
        <v>0</v>
      </c>
      <c r="X71" s="683" t="str">
        <f t="shared" si="12"/>
        <v/>
      </c>
      <c r="Y71" s="690"/>
      <c r="Z71" s="695"/>
      <c r="AC71" s="5"/>
      <c r="AD71" s="5"/>
      <c r="AE71" s="5"/>
    </row>
    <row r="72" spans="2:31" x14ac:dyDescent="0.25">
      <c r="B72" s="341"/>
      <c r="C72" s="321"/>
      <c r="D72" s="342"/>
      <c r="E72" s="326"/>
      <c r="F72" s="326"/>
      <c r="G72" s="326"/>
      <c r="H72" s="277">
        <f t="shared" si="20"/>
        <v>0</v>
      </c>
      <c r="I72" s="326"/>
      <c r="J72" s="326"/>
      <c r="K72" s="326"/>
      <c r="L72" s="326"/>
      <c r="M72" s="909"/>
      <c r="N72" s="759" t="str">
        <f>IF(I72="","NA",IF(M72="",'Building Data schedule'!$C$14,M72))</f>
        <v>NA</v>
      </c>
      <c r="O72" s="684">
        <f t="shared" ref="O72:O135" si="21">IF(I72=0,0,K72/I72)</f>
        <v>0</v>
      </c>
      <c r="P72" s="911" t="str">
        <f t="shared" ref="P72:P135" si="22">IFERROR(K72*N72*52/1000,"")</f>
        <v/>
      </c>
      <c r="Q72" s="910">
        <f t="shared" ref="Q72:Q135" si="23">IF(K72&lt;4000,O72,$AD$7)</f>
        <v>0</v>
      </c>
      <c r="R72" s="683">
        <f t="shared" ref="R72:R135" si="24">Q72*H72</f>
        <v>0</v>
      </c>
      <c r="S72" s="897" t="str">
        <f t="shared" ref="S72:S135" si="25">IFERROR(R72*N72*52/1000,"")</f>
        <v/>
      </c>
      <c r="T72" s="709">
        <f t="shared" ref="T72:T135" si="26">IF(I72=0,0,L72/I72)</f>
        <v>0</v>
      </c>
      <c r="U72" s="893" t="str">
        <f t="shared" ref="U72:U135" si="27">IFERROR(L72*N72*52/1000,"")</f>
        <v/>
      </c>
      <c r="V72" s="683">
        <f t="shared" ref="V72:V135" si="28">IF(K72&lt;4000,IF(T72&lt;$AE$8,$AE$8,T72),($AE$7+Y72/2340))</f>
        <v>0.17</v>
      </c>
      <c r="W72" s="683">
        <f t="shared" ref="W72:W135" si="29">V72*H72</f>
        <v>0</v>
      </c>
      <c r="X72" s="683" t="str">
        <f t="shared" ref="X72:X135" si="30">IFERROR(W72*N72*52/1000,"")</f>
        <v/>
      </c>
      <c r="Y72" s="690"/>
      <c r="Z72" s="695"/>
      <c r="AC72" s="5"/>
      <c r="AD72" s="5"/>
      <c r="AE72" s="5"/>
    </row>
    <row r="73" spans="2:31" x14ac:dyDescent="0.25">
      <c r="B73" s="341"/>
      <c r="C73" s="321"/>
      <c r="D73" s="342"/>
      <c r="E73" s="326"/>
      <c r="F73" s="326"/>
      <c r="G73" s="326"/>
      <c r="H73" s="277">
        <f t="shared" si="20"/>
        <v>0</v>
      </c>
      <c r="I73" s="326"/>
      <c r="J73" s="326"/>
      <c r="K73" s="326"/>
      <c r="L73" s="326"/>
      <c r="M73" s="909"/>
      <c r="N73" s="759" t="str">
        <f>IF(I73="","NA",IF(M73="",'Building Data schedule'!$C$14,M73))</f>
        <v>NA</v>
      </c>
      <c r="O73" s="684">
        <f t="shared" si="21"/>
        <v>0</v>
      </c>
      <c r="P73" s="911" t="str">
        <f t="shared" si="22"/>
        <v/>
      </c>
      <c r="Q73" s="910">
        <f t="shared" si="23"/>
        <v>0</v>
      </c>
      <c r="R73" s="683">
        <f t="shared" si="24"/>
        <v>0</v>
      </c>
      <c r="S73" s="897" t="str">
        <f t="shared" si="25"/>
        <v/>
      </c>
      <c r="T73" s="709">
        <f t="shared" si="26"/>
        <v>0</v>
      </c>
      <c r="U73" s="893" t="str">
        <f t="shared" si="27"/>
        <v/>
      </c>
      <c r="V73" s="683">
        <f t="shared" si="28"/>
        <v>0.17</v>
      </c>
      <c r="W73" s="683">
        <f t="shared" si="29"/>
        <v>0</v>
      </c>
      <c r="X73" s="683" t="str">
        <f t="shared" si="30"/>
        <v/>
      </c>
      <c r="Y73" s="690"/>
      <c r="Z73" s="695"/>
      <c r="AC73" s="5"/>
      <c r="AD73" s="5"/>
      <c r="AE73" s="5"/>
    </row>
    <row r="74" spans="2:31" x14ac:dyDescent="0.25">
      <c r="B74" s="341"/>
      <c r="C74" s="321"/>
      <c r="D74" s="342"/>
      <c r="E74" s="326"/>
      <c r="F74" s="326"/>
      <c r="G74" s="326"/>
      <c r="H74" s="277">
        <f t="shared" si="20"/>
        <v>0</v>
      </c>
      <c r="I74" s="326"/>
      <c r="J74" s="326"/>
      <c r="K74" s="326"/>
      <c r="L74" s="326"/>
      <c r="M74" s="909"/>
      <c r="N74" s="759" t="str">
        <f>IF(I74="","NA",IF(M74="",'Building Data schedule'!$C$14,M74))</f>
        <v>NA</v>
      </c>
      <c r="O74" s="684">
        <f t="shared" si="21"/>
        <v>0</v>
      </c>
      <c r="P74" s="911" t="str">
        <f t="shared" si="22"/>
        <v/>
      </c>
      <c r="Q74" s="910">
        <f t="shared" si="23"/>
        <v>0</v>
      </c>
      <c r="R74" s="683">
        <f t="shared" si="24"/>
        <v>0</v>
      </c>
      <c r="S74" s="897" t="str">
        <f t="shared" si="25"/>
        <v/>
      </c>
      <c r="T74" s="709">
        <f t="shared" si="26"/>
        <v>0</v>
      </c>
      <c r="U74" s="893" t="str">
        <f t="shared" si="27"/>
        <v/>
      </c>
      <c r="V74" s="683">
        <f t="shared" si="28"/>
        <v>0.17</v>
      </c>
      <c r="W74" s="683">
        <f t="shared" si="29"/>
        <v>0</v>
      </c>
      <c r="X74" s="683" t="str">
        <f t="shared" si="30"/>
        <v/>
      </c>
      <c r="Y74" s="690"/>
      <c r="Z74" s="695"/>
      <c r="AC74" s="5"/>
      <c r="AD74" s="5"/>
      <c r="AE74" s="5"/>
    </row>
    <row r="75" spans="2:31" x14ac:dyDescent="0.25">
      <c r="B75" s="341"/>
      <c r="C75" s="321"/>
      <c r="D75" s="342"/>
      <c r="E75" s="326"/>
      <c r="F75" s="326"/>
      <c r="G75" s="326"/>
      <c r="H75" s="277">
        <f t="shared" si="20"/>
        <v>0</v>
      </c>
      <c r="I75" s="326"/>
      <c r="J75" s="326"/>
      <c r="K75" s="326"/>
      <c r="L75" s="326"/>
      <c r="M75" s="909"/>
      <c r="N75" s="759" t="str">
        <f>IF(I75="","NA",IF(M75="",'Building Data schedule'!$C$14,M75))</f>
        <v>NA</v>
      </c>
      <c r="O75" s="684">
        <f t="shared" si="21"/>
        <v>0</v>
      </c>
      <c r="P75" s="911" t="str">
        <f t="shared" si="22"/>
        <v/>
      </c>
      <c r="Q75" s="910">
        <f t="shared" si="23"/>
        <v>0</v>
      </c>
      <c r="R75" s="683">
        <f t="shared" si="24"/>
        <v>0</v>
      </c>
      <c r="S75" s="897" t="str">
        <f t="shared" si="25"/>
        <v/>
      </c>
      <c r="T75" s="709">
        <f t="shared" si="26"/>
        <v>0</v>
      </c>
      <c r="U75" s="893" t="str">
        <f t="shared" si="27"/>
        <v/>
      </c>
      <c r="V75" s="683">
        <f t="shared" si="28"/>
        <v>0.17</v>
      </c>
      <c r="W75" s="683">
        <f t="shared" si="29"/>
        <v>0</v>
      </c>
      <c r="X75" s="683" t="str">
        <f t="shared" si="30"/>
        <v/>
      </c>
      <c r="Y75" s="690"/>
      <c r="Z75" s="695"/>
      <c r="AC75" s="5"/>
      <c r="AD75" s="5"/>
      <c r="AE75" s="5"/>
    </row>
    <row r="76" spans="2:31" x14ac:dyDescent="0.25">
      <c r="B76" s="341"/>
      <c r="C76" s="321"/>
      <c r="D76" s="342"/>
      <c r="E76" s="326"/>
      <c r="F76" s="326"/>
      <c r="G76" s="326"/>
      <c r="H76" s="277">
        <f>E76*F76*G76</f>
        <v>0</v>
      </c>
      <c r="I76" s="326"/>
      <c r="J76" s="326"/>
      <c r="K76" s="326"/>
      <c r="L76" s="326"/>
      <c r="M76" s="909"/>
      <c r="N76" s="759" t="str">
        <f>IF(I76="","NA",IF(M76="",'Building Data schedule'!$C$14,M76))</f>
        <v>NA</v>
      </c>
      <c r="O76" s="684">
        <f t="shared" si="21"/>
        <v>0</v>
      </c>
      <c r="P76" s="911" t="str">
        <f t="shared" si="22"/>
        <v/>
      </c>
      <c r="Q76" s="910">
        <f t="shared" si="23"/>
        <v>0</v>
      </c>
      <c r="R76" s="683">
        <f t="shared" si="24"/>
        <v>0</v>
      </c>
      <c r="S76" s="897" t="str">
        <f t="shared" si="25"/>
        <v/>
      </c>
      <c r="T76" s="709">
        <f t="shared" si="26"/>
        <v>0</v>
      </c>
      <c r="U76" s="893" t="str">
        <f t="shared" si="27"/>
        <v/>
      </c>
      <c r="V76" s="683">
        <f t="shared" si="28"/>
        <v>0.17</v>
      </c>
      <c r="W76" s="683">
        <f t="shared" si="29"/>
        <v>0</v>
      </c>
      <c r="X76" s="683" t="str">
        <f t="shared" si="30"/>
        <v/>
      </c>
      <c r="Y76" s="690"/>
      <c r="Z76" s="695"/>
      <c r="AC76" s="5"/>
      <c r="AD76" s="5"/>
      <c r="AE76" s="5"/>
    </row>
    <row r="77" spans="2:31" x14ac:dyDescent="0.25">
      <c r="B77" s="341"/>
      <c r="C77" s="321"/>
      <c r="D77" s="342"/>
      <c r="E77" s="326"/>
      <c r="F77" s="326"/>
      <c r="G77" s="326"/>
      <c r="H77" s="277">
        <f>E77*F77*G77</f>
        <v>0</v>
      </c>
      <c r="I77" s="326"/>
      <c r="J77" s="326"/>
      <c r="K77" s="326"/>
      <c r="L77" s="326"/>
      <c r="M77" s="909"/>
      <c r="N77" s="759" t="str">
        <f>IF(I77="","NA",IF(M77="",'Building Data schedule'!$C$14,M77))</f>
        <v>NA</v>
      </c>
      <c r="O77" s="684">
        <f t="shared" si="21"/>
        <v>0</v>
      </c>
      <c r="P77" s="911" t="str">
        <f t="shared" si="22"/>
        <v/>
      </c>
      <c r="Q77" s="910">
        <f t="shared" si="23"/>
        <v>0</v>
      </c>
      <c r="R77" s="683">
        <f t="shared" si="24"/>
        <v>0</v>
      </c>
      <c r="S77" s="897" t="str">
        <f t="shared" si="25"/>
        <v/>
      </c>
      <c r="T77" s="709">
        <f t="shared" si="26"/>
        <v>0</v>
      </c>
      <c r="U77" s="893" t="str">
        <f t="shared" si="27"/>
        <v/>
      </c>
      <c r="V77" s="683">
        <f t="shared" si="28"/>
        <v>0.17</v>
      </c>
      <c r="W77" s="683">
        <f t="shared" si="29"/>
        <v>0</v>
      </c>
      <c r="X77" s="683" t="str">
        <f t="shared" si="30"/>
        <v/>
      </c>
      <c r="Y77" s="690"/>
      <c r="Z77" s="695"/>
      <c r="AC77" s="8"/>
      <c r="AD77" s="5"/>
      <c r="AE77" s="5"/>
    </row>
    <row r="78" spans="2:31" x14ac:dyDescent="0.25">
      <c r="B78" s="341"/>
      <c r="C78" s="321"/>
      <c r="D78" s="342"/>
      <c r="E78" s="326"/>
      <c r="F78" s="326"/>
      <c r="G78" s="326"/>
      <c r="H78" s="277">
        <f t="shared" ref="H78:H80" si="31">E78*F78*G78</f>
        <v>0</v>
      </c>
      <c r="I78" s="326"/>
      <c r="J78" s="326"/>
      <c r="K78" s="326"/>
      <c r="L78" s="326"/>
      <c r="M78" s="909"/>
      <c r="N78" s="759" t="str">
        <f>IF(I78="","NA",IF(M78="",'Building Data schedule'!$C$14,M78))</f>
        <v>NA</v>
      </c>
      <c r="O78" s="684">
        <f t="shared" si="21"/>
        <v>0</v>
      </c>
      <c r="P78" s="911" t="str">
        <f t="shared" si="22"/>
        <v/>
      </c>
      <c r="Q78" s="910">
        <f t="shared" si="23"/>
        <v>0</v>
      </c>
      <c r="R78" s="683">
        <f t="shared" si="24"/>
        <v>0</v>
      </c>
      <c r="S78" s="897" t="str">
        <f t="shared" si="25"/>
        <v/>
      </c>
      <c r="T78" s="709">
        <f t="shared" si="26"/>
        <v>0</v>
      </c>
      <c r="U78" s="893" t="str">
        <f t="shared" si="27"/>
        <v/>
      </c>
      <c r="V78" s="683">
        <f t="shared" si="28"/>
        <v>0.17</v>
      </c>
      <c r="W78" s="683">
        <f t="shared" si="29"/>
        <v>0</v>
      </c>
      <c r="X78" s="683" t="str">
        <f t="shared" si="30"/>
        <v/>
      </c>
      <c r="Y78" s="690"/>
      <c r="Z78" s="695"/>
      <c r="AC78" s="8"/>
      <c r="AD78" s="5"/>
      <c r="AE78" s="5"/>
    </row>
    <row r="79" spans="2:31" x14ac:dyDescent="0.25">
      <c r="B79" s="341"/>
      <c r="C79" s="321"/>
      <c r="D79" s="342"/>
      <c r="E79" s="326"/>
      <c r="F79" s="326"/>
      <c r="G79" s="326"/>
      <c r="H79" s="277">
        <f t="shared" si="31"/>
        <v>0</v>
      </c>
      <c r="I79" s="326"/>
      <c r="J79" s="326"/>
      <c r="K79" s="326"/>
      <c r="L79" s="326"/>
      <c r="M79" s="909"/>
      <c r="N79" s="759" t="str">
        <f>IF(I79="","NA",IF(M79="",'Building Data schedule'!$C$14,M79))</f>
        <v>NA</v>
      </c>
      <c r="O79" s="684">
        <f t="shared" si="21"/>
        <v>0</v>
      </c>
      <c r="P79" s="911" t="str">
        <f t="shared" si="22"/>
        <v/>
      </c>
      <c r="Q79" s="910">
        <f t="shared" si="23"/>
        <v>0</v>
      </c>
      <c r="R79" s="683">
        <f t="shared" si="24"/>
        <v>0</v>
      </c>
      <c r="S79" s="897" t="str">
        <f t="shared" si="25"/>
        <v/>
      </c>
      <c r="T79" s="709">
        <f t="shared" si="26"/>
        <v>0</v>
      </c>
      <c r="U79" s="893" t="str">
        <f t="shared" si="27"/>
        <v/>
      </c>
      <c r="V79" s="683">
        <f t="shared" si="28"/>
        <v>0.17</v>
      </c>
      <c r="W79" s="683">
        <f t="shared" si="29"/>
        <v>0</v>
      </c>
      <c r="X79" s="683" t="str">
        <f t="shared" si="30"/>
        <v/>
      </c>
      <c r="Y79" s="690"/>
      <c r="Z79" s="695"/>
      <c r="AC79" s="8"/>
      <c r="AD79" s="5"/>
      <c r="AE79" s="5"/>
    </row>
    <row r="80" spans="2:31" x14ac:dyDescent="0.25">
      <c r="B80" s="341"/>
      <c r="C80" s="321"/>
      <c r="D80" s="342"/>
      <c r="E80" s="326"/>
      <c r="F80" s="326"/>
      <c r="G80" s="326"/>
      <c r="H80" s="277">
        <f t="shared" si="31"/>
        <v>0</v>
      </c>
      <c r="I80" s="326"/>
      <c r="J80" s="326"/>
      <c r="K80" s="326"/>
      <c r="L80" s="326"/>
      <c r="M80" s="909"/>
      <c r="N80" s="759" t="str">
        <f>IF(I80="","NA",IF(M80="",'Building Data schedule'!$C$14,M80))</f>
        <v>NA</v>
      </c>
      <c r="O80" s="684">
        <f t="shared" si="21"/>
        <v>0</v>
      </c>
      <c r="P80" s="911" t="str">
        <f t="shared" si="22"/>
        <v/>
      </c>
      <c r="Q80" s="910">
        <f t="shared" si="23"/>
        <v>0</v>
      </c>
      <c r="R80" s="683">
        <f t="shared" si="24"/>
        <v>0</v>
      </c>
      <c r="S80" s="897" t="str">
        <f t="shared" si="25"/>
        <v/>
      </c>
      <c r="T80" s="709">
        <f t="shared" si="26"/>
        <v>0</v>
      </c>
      <c r="U80" s="893" t="str">
        <f t="shared" si="27"/>
        <v/>
      </c>
      <c r="V80" s="683">
        <f t="shared" si="28"/>
        <v>0.17</v>
      </c>
      <c r="W80" s="683">
        <f t="shared" si="29"/>
        <v>0</v>
      </c>
      <c r="X80" s="683" t="str">
        <f t="shared" si="30"/>
        <v/>
      </c>
      <c r="Y80" s="690"/>
      <c r="Z80" s="695"/>
      <c r="AC80" s="8"/>
      <c r="AD80" s="5"/>
      <c r="AE80" s="5"/>
    </row>
    <row r="81" spans="2:31" x14ac:dyDescent="0.25">
      <c r="B81" s="341"/>
      <c r="C81" s="321"/>
      <c r="D81" s="342"/>
      <c r="E81" s="326"/>
      <c r="F81" s="326"/>
      <c r="G81" s="326"/>
      <c r="H81" s="277">
        <f t="shared" si="18"/>
        <v>0</v>
      </c>
      <c r="I81" s="326"/>
      <c r="J81" s="326"/>
      <c r="K81" s="326"/>
      <c r="L81" s="326"/>
      <c r="M81" s="909"/>
      <c r="N81" s="759" t="str">
        <f>IF(I81="","NA",IF(M81="",'Building Data schedule'!$C$14,M81))</f>
        <v>NA</v>
      </c>
      <c r="O81" s="684">
        <f t="shared" si="21"/>
        <v>0</v>
      </c>
      <c r="P81" s="911" t="str">
        <f t="shared" si="22"/>
        <v/>
      </c>
      <c r="Q81" s="910">
        <f t="shared" si="23"/>
        <v>0</v>
      </c>
      <c r="R81" s="683">
        <f t="shared" si="24"/>
        <v>0</v>
      </c>
      <c r="S81" s="897" t="str">
        <f t="shared" si="25"/>
        <v/>
      </c>
      <c r="T81" s="709">
        <f t="shared" si="26"/>
        <v>0</v>
      </c>
      <c r="U81" s="893" t="str">
        <f t="shared" si="27"/>
        <v/>
      </c>
      <c r="V81" s="683">
        <f t="shared" si="28"/>
        <v>0.17</v>
      </c>
      <c r="W81" s="683">
        <f t="shared" si="29"/>
        <v>0</v>
      </c>
      <c r="X81" s="683" t="str">
        <f t="shared" si="30"/>
        <v/>
      </c>
      <c r="Y81" s="690"/>
      <c r="Z81" s="695"/>
      <c r="AC81" s="5"/>
      <c r="AD81" s="5"/>
      <c r="AE81" s="5"/>
    </row>
    <row r="82" spans="2:31" x14ac:dyDescent="0.25">
      <c r="B82" s="341"/>
      <c r="C82" s="321"/>
      <c r="D82" s="342"/>
      <c r="E82" s="326"/>
      <c r="F82" s="326"/>
      <c r="G82" s="326"/>
      <c r="H82" s="277">
        <f t="shared" si="18"/>
        <v>0</v>
      </c>
      <c r="I82" s="326"/>
      <c r="J82" s="326"/>
      <c r="K82" s="326"/>
      <c r="L82" s="326"/>
      <c r="M82" s="909"/>
      <c r="N82" s="759" t="str">
        <f>IF(I82="","NA",IF(M82="",'Building Data schedule'!$C$14,M82))</f>
        <v>NA</v>
      </c>
      <c r="O82" s="684">
        <f t="shared" si="21"/>
        <v>0</v>
      </c>
      <c r="P82" s="911" t="str">
        <f t="shared" si="22"/>
        <v/>
      </c>
      <c r="Q82" s="910">
        <f t="shared" si="23"/>
        <v>0</v>
      </c>
      <c r="R82" s="683">
        <f t="shared" si="24"/>
        <v>0</v>
      </c>
      <c r="S82" s="897" t="str">
        <f t="shared" si="25"/>
        <v/>
      </c>
      <c r="T82" s="709">
        <f t="shared" si="26"/>
        <v>0</v>
      </c>
      <c r="U82" s="893" t="str">
        <f t="shared" si="27"/>
        <v/>
      </c>
      <c r="V82" s="683">
        <f t="shared" si="28"/>
        <v>0.17</v>
      </c>
      <c r="W82" s="683">
        <f t="shared" si="29"/>
        <v>0</v>
      </c>
      <c r="X82" s="683" t="str">
        <f t="shared" si="30"/>
        <v/>
      </c>
      <c r="Y82" s="690"/>
      <c r="Z82" s="695"/>
      <c r="AC82" s="5"/>
      <c r="AD82" s="5"/>
      <c r="AE82" s="5"/>
    </row>
    <row r="83" spans="2:31" x14ac:dyDescent="0.25">
      <c r="B83" s="341"/>
      <c r="C83" s="321"/>
      <c r="D83" s="342"/>
      <c r="E83" s="326"/>
      <c r="F83" s="326"/>
      <c r="G83" s="326"/>
      <c r="H83" s="277">
        <f t="shared" si="18"/>
        <v>0</v>
      </c>
      <c r="I83" s="326"/>
      <c r="J83" s="326"/>
      <c r="K83" s="326"/>
      <c r="L83" s="326"/>
      <c r="M83" s="909"/>
      <c r="N83" s="759" t="str">
        <f>IF(I83="","NA",IF(M83="",'Building Data schedule'!$C$14,M83))</f>
        <v>NA</v>
      </c>
      <c r="O83" s="684">
        <f t="shared" si="21"/>
        <v>0</v>
      </c>
      <c r="P83" s="911" t="str">
        <f t="shared" si="22"/>
        <v/>
      </c>
      <c r="Q83" s="910">
        <f t="shared" si="23"/>
        <v>0</v>
      </c>
      <c r="R83" s="683">
        <f t="shared" si="24"/>
        <v>0</v>
      </c>
      <c r="S83" s="897" t="str">
        <f t="shared" si="25"/>
        <v/>
      </c>
      <c r="T83" s="709">
        <f t="shared" si="26"/>
        <v>0</v>
      </c>
      <c r="U83" s="893" t="str">
        <f t="shared" si="27"/>
        <v/>
      </c>
      <c r="V83" s="683">
        <f t="shared" si="28"/>
        <v>0.17</v>
      </c>
      <c r="W83" s="683">
        <f t="shared" si="29"/>
        <v>0</v>
      </c>
      <c r="X83" s="683" t="str">
        <f t="shared" si="30"/>
        <v/>
      </c>
      <c r="Y83" s="690"/>
      <c r="Z83" s="695"/>
      <c r="AC83" s="5"/>
      <c r="AD83" s="5"/>
      <c r="AE83" s="5"/>
    </row>
    <row r="84" spans="2:31" s="628" customFormat="1" x14ac:dyDescent="0.25">
      <c r="B84" s="341"/>
      <c r="C84" s="321"/>
      <c r="D84" s="342"/>
      <c r="E84" s="326"/>
      <c r="F84" s="326"/>
      <c r="G84" s="326"/>
      <c r="H84" s="277">
        <f t="shared" ref="H84:H85" si="32">E84*F84*G84</f>
        <v>0</v>
      </c>
      <c r="I84" s="326"/>
      <c r="J84" s="326"/>
      <c r="K84" s="326"/>
      <c r="L84" s="326"/>
      <c r="M84" s="909"/>
      <c r="N84" s="759" t="str">
        <f>IF(I84="","NA",IF(M84="",'Building Data schedule'!$C$14,M84))</f>
        <v>NA</v>
      </c>
      <c r="O84" s="684">
        <f t="shared" si="21"/>
        <v>0</v>
      </c>
      <c r="P84" s="911" t="str">
        <f t="shared" si="22"/>
        <v/>
      </c>
      <c r="Q84" s="910">
        <f t="shared" si="23"/>
        <v>0</v>
      </c>
      <c r="R84" s="683">
        <f t="shared" si="24"/>
        <v>0</v>
      </c>
      <c r="S84" s="897" t="str">
        <f t="shared" si="25"/>
        <v/>
      </c>
      <c r="T84" s="709">
        <f t="shared" si="26"/>
        <v>0</v>
      </c>
      <c r="U84" s="893" t="str">
        <f t="shared" si="27"/>
        <v/>
      </c>
      <c r="V84" s="683">
        <f t="shared" si="28"/>
        <v>0.17</v>
      </c>
      <c r="W84" s="683">
        <f t="shared" si="29"/>
        <v>0</v>
      </c>
      <c r="X84" s="683" t="str">
        <f t="shared" si="30"/>
        <v/>
      </c>
      <c r="Y84" s="690"/>
      <c r="Z84" s="695"/>
      <c r="AC84" s="5"/>
      <c r="AD84" s="5"/>
      <c r="AE84" s="5"/>
    </row>
    <row r="85" spans="2:31" s="628" customFormat="1" x14ac:dyDescent="0.25">
      <c r="B85" s="341"/>
      <c r="C85" s="321"/>
      <c r="D85" s="342"/>
      <c r="E85" s="326"/>
      <c r="F85" s="326"/>
      <c r="G85" s="326"/>
      <c r="H85" s="277">
        <f t="shared" si="32"/>
        <v>0</v>
      </c>
      <c r="I85" s="326"/>
      <c r="J85" s="326"/>
      <c r="K85" s="326"/>
      <c r="L85" s="326"/>
      <c r="M85" s="909"/>
      <c r="N85" s="759" t="str">
        <f>IF(I85="","NA",IF(M85="",'Building Data schedule'!$C$14,M85))</f>
        <v>NA</v>
      </c>
      <c r="O85" s="684">
        <f t="shared" si="21"/>
        <v>0</v>
      </c>
      <c r="P85" s="911" t="str">
        <f t="shared" si="22"/>
        <v/>
      </c>
      <c r="Q85" s="910">
        <f t="shared" si="23"/>
        <v>0</v>
      </c>
      <c r="R85" s="683">
        <f t="shared" si="24"/>
        <v>0</v>
      </c>
      <c r="S85" s="897" t="str">
        <f t="shared" si="25"/>
        <v/>
      </c>
      <c r="T85" s="709">
        <f t="shared" si="26"/>
        <v>0</v>
      </c>
      <c r="U85" s="893" t="str">
        <f t="shared" si="27"/>
        <v/>
      </c>
      <c r="V85" s="683">
        <f t="shared" si="28"/>
        <v>0.17</v>
      </c>
      <c r="W85" s="683">
        <f t="shared" si="29"/>
        <v>0</v>
      </c>
      <c r="X85" s="683" t="str">
        <f t="shared" si="30"/>
        <v/>
      </c>
      <c r="Y85" s="690"/>
      <c r="Z85" s="695"/>
      <c r="AC85" s="5"/>
      <c r="AD85" s="5"/>
      <c r="AE85" s="5"/>
    </row>
    <row r="86" spans="2:31" s="628" customFormat="1" x14ac:dyDescent="0.25">
      <c r="B86" s="341"/>
      <c r="C86" s="321"/>
      <c r="D86" s="342"/>
      <c r="E86" s="326"/>
      <c r="F86" s="326"/>
      <c r="G86" s="326"/>
      <c r="H86" s="277">
        <f>E86*F86*G86</f>
        <v>0</v>
      </c>
      <c r="I86" s="326"/>
      <c r="J86" s="326"/>
      <c r="K86" s="326"/>
      <c r="L86" s="326"/>
      <c r="M86" s="909"/>
      <c r="N86" s="759" t="str">
        <f>IF(I86="","NA",IF(M86="",'Building Data schedule'!$C$14,M86))</f>
        <v>NA</v>
      </c>
      <c r="O86" s="684">
        <f t="shared" si="21"/>
        <v>0</v>
      </c>
      <c r="P86" s="911" t="str">
        <f t="shared" si="22"/>
        <v/>
      </c>
      <c r="Q86" s="910">
        <f t="shared" si="23"/>
        <v>0</v>
      </c>
      <c r="R86" s="683">
        <f t="shared" si="24"/>
        <v>0</v>
      </c>
      <c r="S86" s="897" t="str">
        <f t="shared" si="25"/>
        <v/>
      </c>
      <c r="T86" s="709">
        <f t="shared" si="26"/>
        <v>0</v>
      </c>
      <c r="U86" s="893" t="str">
        <f t="shared" si="27"/>
        <v/>
      </c>
      <c r="V86" s="683">
        <f t="shared" si="28"/>
        <v>0.17</v>
      </c>
      <c r="W86" s="683">
        <f t="shared" si="29"/>
        <v>0</v>
      </c>
      <c r="X86" s="683" t="str">
        <f t="shared" si="30"/>
        <v/>
      </c>
      <c r="Y86" s="690"/>
      <c r="Z86" s="695"/>
      <c r="AC86" s="5"/>
      <c r="AD86" s="5"/>
      <c r="AE86" s="5"/>
    </row>
    <row r="87" spans="2:31" s="628" customFormat="1" x14ac:dyDescent="0.25">
      <c r="B87" s="341"/>
      <c r="C87" s="321"/>
      <c r="D87" s="342"/>
      <c r="E87" s="326"/>
      <c r="F87" s="326"/>
      <c r="G87" s="326"/>
      <c r="H87" s="277">
        <f>E87*F87*G87</f>
        <v>0</v>
      </c>
      <c r="I87" s="326"/>
      <c r="J87" s="326"/>
      <c r="K87" s="326"/>
      <c r="L87" s="326"/>
      <c r="M87" s="909"/>
      <c r="N87" s="759" t="str">
        <f>IF(I87="","NA",IF(M87="",'Building Data schedule'!$C$14,M87))</f>
        <v>NA</v>
      </c>
      <c r="O87" s="684">
        <f t="shared" si="21"/>
        <v>0</v>
      </c>
      <c r="P87" s="911" t="str">
        <f t="shared" si="22"/>
        <v/>
      </c>
      <c r="Q87" s="910">
        <f t="shared" si="23"/>
        <v>0</v>
      </c>
      <c r="R87" s="683">
        <f t="shared" si="24"/>
        <v>0</v>
      </c>
      <c r="S87" s="897" t="str">
        <f t="shared" si="25"/>
        <v/>
      </c>
      <c r="T87" s="709">
        <f t="shared" si="26"/>
        <v>0</v>
      </c>
      <c r="U87" s="893" t="str">
        <f t="shared" si="27"/>
        <v/>
      </c>
      <c r="V87" s="683">
        <f t="shared" si="28"/>
        <v>0.17</v>
      </c>
      <c r="W87" s="683">
        <f t="shared" si="29"/>
        <v>0</v>
      </c>
      <c r="X87" s="683" t="str">
        <f t="shared" si="30"/>
        <v/>
      </c>
      <c r="Y87" s="690"/>
      <c r="Z87" s="695"/>
      <c r="AC87" s="8"/>
      <c r="AD87" s="5"/>
      <c r="AE87" s="5"/>
    </row>
    <row r="88" spans="2:31" s="628" customFormat="1" x14ac:dyDescent="0.25">
      <c r="B88" s="341"/>
      <c r="C88" s="321"/>
      <c r="D88" s="342"/>
      <c r="E88" s="326"/>
      <c r="F88" s="326"/>
      <c r="G88" s="326"/>
      <c r="H88" s="277">
        <f t="shared" ref="H88:H95" si="33">E88*F88*G88</f>
        <v>0</v>
      </c>
      <c r="I88" s="326"/>
      <c r="J88" s="326"/>
      <c r="K88" s="326"/>
      <c r="L88" s="326"/>
      <c r="M88" s="909"/>
      <c r="N88" s="759" t="str">
        <f>IF(I88="","NA",IF(M88="",'Building Data schedule'!$C$14,M88))</f>
        <v>NA</v>
      </c>
      <c r="O88" s="684">
        <f t="shared" si="21"/>
        <v>0</v>
      </c>
      <c r="P88" s="911" t="str">
        <f t="shared" si="22"/>
        <v/>
      </c>
      <c r="Q88" s="910">
        <f t="shared" si="23"/>
        <v>0</v>
      </c>
      <c r="R88" s="683">
        <f t="shared" si="24"/>
        <v>0</v>
      </c>
      <c r="S88" s="897" t="str">
        <f t="shared" si="25"/>
        <v/>
      </c>
      <c r="T88" s="709">
        <f t="shared" si="26"/>
        <v>0</v>
      </c>
      <c r="U88" s="893" t="str">
        <f t="shared" si="27"/>
        <v/>
      </c>
      <c r="V88" s="683">
        <f t="shared" si="28"/>
        <v>0.17</v>
      </c>
      <c r="W88" s="683">
        <f t="shared" si="29"/>
        <v>0</v>
      </c>
      <c r="X88" s="683" t="str">
        <f t="shared" si="30"/>
        <v/>
      </c>
      <c r="Y88" s="690"/>
      <c r="Z88" s="695"/>
      <c r="AC88" s="8"/>
      <c r="AD88" s="5"/>
      <c r="AE88" s="5"/>
    </row>
    <row r="89" spans="2:31" s="628" customFormat="1" x14ac:dyDescent="0.25">
      <c r="B89" s="341"/>
      <c r="C89" s="321"/>
      <c r="D89" s="342"/>
      <c r="E89" s="326"/>
      <c r="F89" s="326"/>
      <c r="G89" s="326"/>
      <c r="H89" s="277">
        <f t="shared" si="33"/>
        <v>0</v>
      </c>
      <c r="I89" s="326"/>
      <c r="J89" s="326"/>
      <c r="K89" s="326"/>
      <c r="L89" s="326"/>
      <c r="M89" s="909"/>
      <c r="N89" s="759" t="str">
        <f>IF(I89="","NA",IF(M89="",'Building Data schedule'!$C$14,M89))</f>
        <v>NA</v>
      </c>
      <c r="O89" s="684">
        <f t="shared" si="21"/>
        <v>0</v>
      </c>
      <c r="P89" s="911" t="str">
        <f t="shared" si="22"/>
        <v/>
      </c>
      <c r="Q89" s="910">
        <f t="shared" si="23"/>
        <v>0</v>
      </c>
      <c r="R89" s="683">
        <f t="shared" si="24"/>
        <v>0</v>
      </c>
      <c r="S89" s="897" t="str">
        <f t="shared" si="25"/>
        <v/>
      </c>
      <c r="T89" s="709">
        <f t="shared" si="26"/>
        <v>0</v>
      </c>
      <c r="U89" s="893" t="str">
        <f t="shared" si="27"/>
        <v/>
      </c>
      <c r="V89" s="683">
        <f t="shared" si="28"/>
        <v>0.17</v>
      </c>
      <c r="W89" s="683">
        <f t="shared" si="29"/>
        <v>0</v>
      </c>
      <c r="X89" s="683" t="str">
        <f t="shared" si="30"/>
        <v/>
      </c>
      <c r="Y89" s="690"/>
      <c r="Z89" s="695"/>
      <c r="AC89" s="8"/>
      <c r="AD89" s="5"/>
      <c r="AE89" s="5"/>
    </row>
    <row r="90" spans="2:31" s="628" customFormat="1" x14ac:dyDescent="0.25">
      <c r="B90" s="341"/>
      <c r="C90" s="321"/>
      <c r="D90" s="342"/>
      <c r="E90" s="326"/>
      <c r="F90" s="326"/>
      <c r="G90" s="326"/>
      <c r="H90" s="277">
        <f t="shared" si="33"/>
        <v>0</v>
      </c>
      <c r="I90" s="326"/>
      <c r="J90" s="326"/>
      <c r="K90" s="326"/>
      <c r="L90" s="326"/>
      <c r="M90" s="909"/>
      <c r="N90" s="759" t="str">
        <f>IF(I90="","NA",IF(M90="",'Building Data schedule'!$C$14,M90))</f>
        <v>NA</v>
      </c>
      <c r="O90" s="684">
        <f t="shared" si="21"/>
        <v>0</v>
      </c>
      <c r="P90" s="911" t="str">
        <f t="shared" si="22"/>
        <v/>
      </c>
      <c r="Q90" s="910">
        <f t="shared" si="23"/>
        <v>0</v>
      </c>
      <c r="R90" s="683">
        <f t="shared" si="24"/>
        <v>0</v>
      </c>
      <c r="S90" s="897" t="str">
        <f t="shared" si="25"/>
        <v/>
      </c>
      <c r="T90" s="709">
        <f t="shared" si="26"/>
        <v>0</v>
      </c>
      <c r="U90" s="893" t="str">
        <f t="shared" si="27"/>
        <v/>
      </c>
      <c r="V90" s="683">
        <f t="shared" si="28"/>
        <v>0.17</v>
      </c>
      <c r="W90" s="683">
        <f t="shared" si="29"/>
        <v>0</v>
      </c>
      <c r="X90" s="683" t="str">
        <f t="shared" si="30"/>
        <v/>
      </c>
      <c r="Y90" s="690"/>
      <c r="Z90" s="695"/>
      <c r="AC90" s="8"/>
      <c r="AD90" s="5"/>
      <c r="AE90" s="5"/>
    </row>
    <row r="91" spans="2:31" s="628" customFormat="1" x14ac:dyDescent="0.25">
      <c r="B91" s="341"/>
      <c r="C91" s="321"/>
      <c r="D91" s="342"/>
      <c r="E91" s="326"/>
      <c r="F91" s="326"/>
      <c r="G91" s="326"/>
      <c r="H91" s="277">
        <f t="shared" si="33"/>
        <v>0</v>
      </c>
      <c r="I91" s="326"/>
      <c r="J91" s="326"/>
      <c r="K91" s="326"/>
      <c r="L91" s="326"/>
      <c r="M91" s="909"/>
      <c r="N91" s="759" t="str">
        <f>IF(I91="","NA",IF(M91="",'Building Data schedule'!$C$14,M91))</f>
        <v>NA</v>
      </c>
      <c r="O91" s="684">
        <f t="shared" si="21"/>
        <v>0</v>
      </c>
      <c r="P91" s="911" t="str">
        <f t="shared" si="22"/>
        <v/>
      </c>
      <c r="Q91" s="910">
        <f t="shared" si="23"/>
        <v>0</v>
      </c>
      <c r="R91" s="683">
        <f t="shared" si="24"/>
        <v>0</v>
      </c>
      <c r="S91" s="897" t="str">
        <f t="shared" si="25"/>
        <v/>
      </c>
      <c r="T91" s="709">
        <f t="shared" si="26"/>
        <v>0</v>
      </c>
      <c r="U91" s="893" t="str">
        <f t="shared" si="27"/>
        <v/>
      </c>
      <c r="V91" s="683">
        <f t="shared" si="28"/>
        <v>0.17</v>
      </c>
      <c r="W91" s="683">
        <f t="shared" si="29"/>
        <v>0</v>
      </c>
      <c r="X91" s="683" t="str">
        <f t="shared" si="30"/>
        <v/>
      </c>
      <c r="Y91" s="690"/>
      <c r="Z91" s="695"/>
      <c r="AC91" s="5"/>
      <c r="AD91" s="5"/>
      <c r="AE91" s="5"/>
    </row>
    <row r="92" spans="2:31" s="628" customFormat="1" x14ac:dyDescent="0.25">
      <c r="B92" s="341"/>
      <c r="C92" s="321"/>
      <c r="D92" s="342"/>
      <c r="E92" s="326"/>
      <c r="F92" s="326"/>
      <c r="G92" s="326"/>
      <c r="H92" s="277">
        <f t="shared" si="33"/>
        <v>0</v>
      </c>
      <c r="I92" s="326"/>
      <c r="J92" s="326"/>
      <c r="K92" s="326"/>
      <c r="L92" s="326"/>
      <c r="M92" s="909"/>
      <c r="N92" s="759" t="str">
        <f>IF(I92="","NA",IF(M92="",'Building Data schedule'!$C$14,M92))</f>
        <v>NA</v>
      </c>
      <c r="O92" s="684">
        <f t="shared" si="21"/>
        <v>0</v>
      </c>
      <c r="P92" s="911" t="str">
        <f t="shared" si="22"/>
        <v/>
      </c>
      <c r="Q92" s="910">
        <f t="shared" si="23"/>
        <v>0</v>
      </c>
      <c r="R92" s="683">
        <f t="shared" si="24"/>
        <v>0</v>
      </c>
      <c r="S92" s="897" t="str">
        <f t="shared" si="25"/>
        <v/>
      </c>
      <c r="T92" s="709">
        <f t="shared" si="26"/>
        <v>0</v>
      </c>
      <c r="U92" s="893" t="str">
        <f t="shared" si="27"/>
        <v/>
      </c>
      <c r="V92" s="683">
        <f t="shared" si="28"/>
        <v>0.17</v>
      </c>
      <c r="W92" s="683">
        <f t="shared" si="29"/>
        <v>0</v>
      </c>
      <c r="X92" s="683" t="str">
        <f t="shared" si="30"/>
        <v/>
      </c>
      <c r="Y92" s="690"/>
      <c r="Z92" s="695"/>
      <c r="AC92" s="5"/>
      <c r="AD92" s="5"/>
      <c r="AE92" s="5"/>
    </row>
    <row r="93" spans="2:31" s="628" customFormat="1" x14ac:dyDescent="0.25">
      <c r="B93" s="341"/>
      <c r="C93" s="321"/>
      <c r="D93" s="342"/>
      <c r="E93" s="326"/>
      <c r="F93" s="326"/>
      <c r="G93" s="326"/>
      <c r="H93" s="277">
        <f t="shared" si="33"/>
        <v>0</v>
      </c>
      <c r="I93" s="326"/>
      <c r="J93" s="326"/>
      <c r="K93" s="326"/>
      <c r="L93" s="326"/>
      <c r="M93" s="909"/>
      <c r="N93" s="759" t="str">
        <f>IF(I93="","NA",IF(M93="",'Building Data schedule'!$C$14,M93))</f>
        <v>NA</v>
      </c>
      <c r="O93" s="684">
        <f t="shared" si="21"/>
        <v>0</v>
      </c>
      <c r="P93" s="911" t="str">
        <f t="shared" si="22"/>
        <v/>
      </c>
      <c r="Q93" s="910">
        <f t="shared" si="23"/>
        <v>0</v>
      </c>
      <c r="R93" s="683">
        <f t="shared" si="24"/>
        <v>0</v>
      </c>
      <c r="S93" s="897" t="str">
        <f t="shared" si="25"/>
        <v/>
      </c>
      <c r="T93" s="709">
        <f t="shared" si="26"/>
        <v>0</v>
      </c>
      <c r="U93" s="893" t="str">
        <f t="shared" si="27"/>
        <v/>
      </c>
      <c r="V93" s="683">
        <f t="shared" si="28"/>
        <v>0.17</v>
      </c>
      <c r="W93" s="683">
        <f t="shared" si="29"/>
        <v>0</v>
      </c>
      <c r="X93" s="683" t="str">
        <f t="shared" si="30"/>
        <v/>
      </c>
      <c r="Y93" s="690"/>
      <c r="Z93" s="695"/>
      <c r="AC93" s="5"/>
      <c r="AD93" s="5"/>
      <c r="AE93" s="5"/>
    </row>
    <row r="94" spans="2:31" s="628" customFormat="1" x14ac:dyDescent="0.25">
      <c r="B94" s="341"/>
      <c r="C94" s="321"/>
      <c r="D94" s="342"/>
      <c r="E94" s="326"/>
      <c r="F94" s="326"/>
      <c r="G94" s="326"/>
      <c r="H94" s="277">
        <f t="shared" si="33"/>
        <v>0</v>
      </c>
      <c r="I94" s="326"/>
      <c r="J94" s="326"/>
      <c r="K94" s="326"/>
      <c r="L94" s="326"/>
      <c r="M94" s="909"/>
      <c r="N94" s="759" t="str">
        <f>IF(I94="","NA",IF(M94="",'Building Data schedule'!$C$14,M94))</f>
        <v>NA</v>
      </c>
      <c r="O94" s="684">
        <f t="shared" si="21"/>
        <v>0</v>
      </c>
      <c r="P94" s="911" t="str">
        <f t="shared" si="22"/>
        <v/>
      </c>
      <c r="Q94" s="910">
        <f t="shared" si="23"/>
        <v>0</v>
      </c>
      <c r="R94" s="683">
        <f t="shared" si="24"/>
        <v>0</v>
      </c>
      <c r="S94" s="897" t="str">
        <f t="shared" si="25"/>
        <v/>
      </c>
      <c r="T94" s="709">
        <f t="shared" si="26"/>
        <v>0</v>
      </c>
      <c r="U94" s="893" t="str">
        <f t="shared" si="27"/>
        <v/>
      </c>
      <c r="V94" s="683">
        <f t="shared" si="28"/>
        <v>0.17</v>
      </c>
      <c r="W94" s="683">
        <f t="shared" si="29"/>
        <v>0</v>
      </c>
      <c r="X94" s="683" t="str">
        <f t="shared" si="30"/>
        <v/>
      </c>
      <c r="Y94" s="690"/>
      <c r="Z94" s="695"/>
      <c r="AC94" s="5"/>
      <c r="AD94" s="5"/>
      <c r="AE94" s="5"/>
    </row>
    <row r="95" spans="2:31" s="628" customFormat="1" x14ac:dyDescent="0.25">
      <c r="B95" s="341"/>
      <c r="C95" s="321"/>
      <c r="D95" s="342"/>
      <c r="E95" s="326"/>
      <c r="F95" s="326"/>
      <c r="G95" s="326"/>
      <c r="H95" s="277">
        <f t="shared" si="33"/>
        <v>0</v>
      </c>
      <c r="I95" s="326"/>
      <c r="J95" s="326"/>
      <c r="K95" s="326"/>
      <c r="L95" s="326"/>
      <c r="M95" s="909"/>
      <c r="N95" s="759" t="str">
        <f>IF(I95="","NA",IF(M95="",'Building Data schedule'!$C$14,M95))</f>
        <v>NA</v>
      </c>
      <c r="O95" s="684">
        <f t="shared" si="21"/>
        <v>0</v>
      </c>
      <c r="P95" s="911" t="str">
        <f t="shared" si="22"/>
        <v/>
      </c>
      <c r="Q95" s="910">
        <f t="shared" si="23"/>
        <v>0</v>
      </c>
      <c r="R95" s="683">
        <f t="shared" si="24"/>
        <v>0</v>
      </c>
      <c r="S95" s="897" t="str">
        <f t="shared" si="25"/>
        <v/>
      </c>
      <c r="T95" s="709">
        <f t="shared" si="26"/>
        <v>0</v>
      </c>
      <c r="U95" s="893" t="str">
        <f t="shared" si="27"/>
        <v/>
      </c>
      <c r="V95" s="683">
        <f t="shared" si="28"/>
        <v>0.17</v>
      </c>
      <c r="W95" s="683">
        <f t="shared" si="29"/>
        <v>0</v>
      </c>
      <c r="X95" s="683" t="str">
        <f t="shared" si="30"/>
        <v/>
      </c>
      <c r="Y95" s="690"/>
      <c r="Z95" s="695"/>
      <c r="AC95" s="5"/>
      <c r="AD95" s="5"/>
      <c r="AE95" s="5"/>
    </row>
    <row r="96" spans="2:31" s="628" customFormat="1" x14ac:dyDescent="0.25">
      <c r="B96" s="341"/>
      <c r="C96" s="321"/>
      <c r="D96" s="342"/>
      <c r="E96" s="326"/>
      <c r="F96" s="326"/>
      <c r="G96" s="326"/>
      <c r="H96" s="277">
        <f>E96*F96*G96</f>
        <v>0</v>
      </c>
      <c r="I96" s="326"/>
      <c r="J96" s="326"/>
      <c r="K96" s="326"/>
      <c r="L96" s="326"/>
      <c r="M96" s="909"/>
      <c r="N96" s="759" t="str">
        <f>IF(I96="","NA",IF(M96="",'Building Data schedule'!$C$14,M96))</f>
        <v>NA</v>
      </c>
      <c r="O96" s="684">
        <f t="shared" si="21"/>
        <v>0</v>
      </c>
      <c r="P96" s="911" t="str">
        <f t="shared" si="22"/>
        <v/>
      </c>
      <c r="Q96" s="910">
        <f t="shared" si="23"/>
        <v>0</v>
      </c>
      <c r="R96" s="683">
        <f t="shared" si="24"/>
        <v>0</v>
      </c>
      <c r="S96" s="897" t="str">
        <f t="shared" si="25"/>
        <v/>
      </c>
      <c r="T96" s="709">
        <f t="shared" si="26"/>
        <v>0</v>
      </c>
      <c r="U96" s="893" t="str">
        <f t="shared" si="27"/>
        <v/>
      </c>
      <c r="V96" s="683">
        <f t="shared" si="28"/>
        <v>0.17</v>
      </c>
      <c r="W96" s="683">
        <f t="shared" si="29"/>
        <v>0</v>
      </c>
      <c r="X96" s="683" t="str">
        <f t="shared" si="30"/>
        <v/>
      </c>
      <c r="Y96" s="690"/>
      <c r="Z96" s="695"/>
      <c r="AC96" s="5"/>
      <c r="AD96" s="5"/>
      <c r="AE96" s="5"/>
    </row>
    <row r="97" spans="2:31" s="628" customFormat="1" x14ac:dyDescent="0.25">
      <c r="B97" s="341"/>
      <c r="C97" s="321"/>
      <c r="D97" s="342"/>
      <c r="E97" s="326"/>
      <c r="F97" s="326"/>
      <c r="G97" s="326"/>
      <c r="H97" s="277">
        <f>E97*F97*G97</f>
        <v>0</v>
      </c>
      <c r="I97" s="326"/>
      <c r="J97" s="326"/>
      <c r="K97" s="326"/>
      <c r="L97" s="326"/>
      <c r="M97" s="909"/>
      <c r="N97" s="759" t="str">
        <f>IF(I97="","NA",IF(M97="",'Building Data schedule'!$C$14,M97))</f>
        <v>NA</v>
      </c>
      <c r="O97" s="684">
        <f t="shared" si="21"/>
        <v>0</v>
      </c>
      <c r="P97" s="911" t="str">
        <f t="shared" si="22"/>
        <v/>
      </c>
      <c r="Q97" s="910">
        <f t="shared" si="23"/>
        <v>0</v>
      </c>
      <c r="R97" s="683">
        <f t="shared" si="24"/>
        <v>0</v>
      </c>
      <c r="S97" s="897" t="str">
        <f t="shared" si="25"/>
        <v/>
      </c>
      <c r="T97" s="709">
        <f t="shared" si="26"/>
        <v>0</v>
      </c>
      <c r="U97" s="893" t="str">
        <f t="shared" si="27"/>
        <v/>
      </c>
      <c r="V97" s="683">
        <f t="shared" si="28"/>
        <v>0.17</v>
      </c>
      <c r="W97" s="683">
        <f t="shared" si="29"/>
        <v>0</v>
      </c>
      <c r="X97" s="683" t="str">
        <f t="shared" si="30"/>
        <v/>
      </c>
      <c r="Y97" s="690"/>
      <c r="Z97" s="695"/>
      <c r="AC97" s="8"/>
      <c r="AD97" s="5"/>
      <c r="AE97" s="5"/>
    </row>
    <row r="98" spans="2:31" s="628" customFormat="1" x14ac:dyDescent="0.25">
      <c r="B98" s="341"/>
      <c r="C98" s="321"/>
      <c r="D98" s="342"/>
      <c r="E98" s="326"/>
      <c r="F98" s="326"/>
      <c r="G98" s="326"/>
      <c r="H98" s="277">
        <f t="shared" ref="H98:H105" si="34">E98*F98*G98</f>
        <v>0</v>
      </c>
      <c r="I98" s="326"/>
      <c r="J98" s="326"/>
      <c r="K98" s="326"/>
      <c r="L98" s="326"/>
      <c r="M98" s="909"/>
      <c r="N98" s="759" t="str">
        <f>IF(I98="","NA",IF(M98="",'Building Data schedule'!$C$14,M98))</f>
        <v>NA</v>
      </c>
      <c r="O98" s="684">
        <f t="shared" si="21"/>
        <v>0</v>
      </c>
      <c r="P98" s="911" t="str">
        <f t="shared" si="22"/>
        <v/>
      </c>
      <c r="Q98" s="910">
        <f t="shared" si="23"/>
        <v>0</v>
      </c>
      <c r="R98" s="683">
        <f t="shared" si="24"/>
        <v>0</v>
      </c>
      <c r="S98" s="897" t="str">
        <f t="shared" si="25"/>
        <v/>
      </c>
      <c r="T98" s="709">
        <f t="shared" si="26"/>
        <v>0</v>
      </c>
      <c r="U98" s="893" t="str">
        <f t="shared" si="27"/>
        <v/>
      </c>
      <c r="V98" s="683">
        <f t="shared" si="28"/>
        <v>0.17</v>
      </c>
      <c r="W98" s="683">
        <f t="shared" si="29"/>
        <v>0</v>
      </c>
      <c r="X98" s="683" t="str">
        <f t="shared" si="30"/>
        <v/>
      </c>
      <c r="Y98" s="690"/>
      <c r="Z98" s="695"/>
      <c r="AC98" s="8"/>
      <c r="AD98" s="5"/>
      <c r="AE98" s="5"/>
    </row>
    <row r="99" spans="2:31" s="628" customFormat="1" x14ac:dyDescent="0.25">
      <c r="B99" s="341"/>
      <c r="C99" s="321"/>
      <c r="D99" s="342"/>
      <c r="E99" s="326"/>
      <c r="F99" s="326"/>
      <c r="G99" s="326"/>
      <c r="H99" s="277">
        <f t="shared" si="34"/>
        <v>0</v>
      </c>
      <c r="I99" s="326"/>
      <c r="J99" s="326"/>
      <c r="K99" s="326"/>
      <c r="L99" s="326"/>
      <c r="M99" s="909"/>
      <c r="N99" s="759" t="str">
        <f>IF(I99="","NA",IF(M99="",'Building Data schedule'!$C$14,M99))</f>
        <v>NA</v>
      </c>
      <c r="O99" s="684">
        <f t="shared" si="21"/>
        <v>0</v>
      </c>
      <c r="P99" s="911" t="str">
        <f t="shared" si="22"/>
        <v/>
      </c>
      <c r="Q99" s="910">
        <f t="shared" si="23"/>
        <v>0</v>
      </c>
      <c r="R99" s="683">
        <f t="shared" si="24"/>
        <v>0</v>
      </c>
      <c r="S99" s="897" t="str">
        <f t="shared" si="25"/>
        <v/>
      </c>
      <c r="T99" s="709">
        <f t="shared" si="26"/>
        <v>0</v>
      </c>
      <c r="U99" s="893" t="str">
        <f t="shared" si="27"/>
        <v/>
      </c>
      <c r="V99" s="683">
        <f t="shared" si="28"/>
        <v>0.17</v>
      </c>
      <c r="W99" s="683">
        <f t="shared" si="29"/>
        <v>0</v>
      </c>
      <c r="X99" s="683" t="str">
        <f t="shared" si="30"/>
        <v/>
      </c>
      <c r="Y99" s="690"/>
      <c r="Z99" s="695"/>
      <c r="AC99" s="8"/>
      <c r="AD99" s="5"/>
      <c r="AE99" s="5"/>
    </row>
    <row r="100" spans="2:31" s="628" customFormat="1" x14ac:dyDescent="0.25">
      <c r="B100" s="341"/>
      <c r="C100" s="321"/>
      <c r="D100" s="342"/>
      <c r="E100" s="326"/>
      <c r="F100" s="326"/>
      <c r="G100" s="326"/>
      <c r="H100" s="277">
        <f t="shared" si="34"/>
        <v>0</v>
      </c>
      <c r="I100" s="326"/>
      <c r="J100" s="326"/>
      <c r="K100" s="326"/>
      <c r="L100" s="326"/>
      <c r="M100" s="909"/>
      <c r="N100" s="759" t="str">
        <f>IF(I100="","NA",IF(M100="",'Building Data schedule'!$C$14,M100))</f>
        <v>NA</v>
      </c>
      <c r="O100" s="684">
        <f t="shared" si="21"/>
        <v>0</v>
      </c>
      <c r="P100" s="911" t="str">
        <f t="shared" si="22"/>
        <v/>
      </c>
      <c r="Q100" s="910">
        <f t="shared" si="23"/>
        <v>0</v>
      </c>
      <c r="R100" s="683">
        <f t="shared" si="24"/>
        <v>0</v>
      </c>
      <c r="S100" s="897" t="str">
        <f t="shared" si="25"/>
        <v/>
      </c>
      <c r="T100" s="709">
        <f t="shared" si="26"/>
        <v>0</v>
      </c>
      <c r="U100" s="893" t="str">
        <f t="shared" si="27"/>
        <v/>
      </c>
      <c r="V100" s="683">
        <f t="shared" si="28"/>
        <v>0.17</v>
      </c>
      <c r="W100" s="683">
        <f t="shared" si="29"/>
        <v>0</v>
      </c>
      <c r="X100" s="683" t="str">
        <f t="shared" si="30"/>
        <v/>
      </c>
      <c r="Y100" s="690"/>
      <c r="Z100" s="695"/>
      <c r="AC100" s="8"/>
      <c r="AD100" s="5"/>
      <c r="AE100" s="5"/>
    </row>
    <row r="101" spans="2:31" s="628" customFormat="1" x14ac:dyDescent="0.25">
      <c r="B101" s="341"/>
      <c r="C101" s="321"/>
      <c r="D101" s="342"/>
      <c r="E101" s="326"/>
      <c r="F101" s="326"/>
      <c r="G101" s="326"/>
      <c r="H101" s="277">
        <f t="shared" si="34"/>
        <v>0</v>
      </c>
      <c r="I101" s="326"/>
      <c r="J101" s="326"/>
      <c r="K101" s="326"/>
      <c r="L101" s="326"/>
      <c r="M101" s="909"/>
      <c r="N101" s="759" t="str">
        <f>IF(I101="","NA",IF(M101="",'Building Data schedule'!$C$14,M101))</f>
        <v>NA</v>
      </c>
      <c r="O101" s="684">
        <f t="shared" si="21"/>
        <v>0</v>
      </c>
      <c r="P101" s="911" t="str">
        <f t="shared" si="22"/>
        <v/>
      </c>
      <c r="Q101" s="910">
        <f t="shared" si="23"/>
        <v>0</v>
      </c>
      <c r="R101" s="683">
        <f t="shared" si="24"/>
        <v>0</v>
      </c>
      <c r="S101" s="897" t="str">
        <f t="shared" si="25"/>
        <v/>
      </c>
      <c r="T101" s="709">
        <f t="shared" si="26"/>
        <v>0</v>
      </c>
      <c r="U101" s="893" t="str">
        <f t="shared" si="27"/>
        <v/>
      </c>
      <c r="V101" s="683">
        <f t="shared" si="28"/>
        <v>0.17</v>
      </c>
      <c r="W101" s="683">
        <f t="shared" si="29"/>
        <v>0</v>
      </c>
      <c r="X101" s="683" t="str">
        <f t="shared" si="30"/>
        <v/>
      </c>
      <c r="Y101" s="690"/>
      <c r="Z101" s="695"/>
      <c r="AC101" s="5"/>
      <c r="AD101" s="5"/>
      <c r="AE101" s="5"/>
    </row>
    <row r="102" spans="2:31" s="628" customFormat="1" x14ac:dyDescent="0.25">
      <c r="B102" s="341"/>
      <c r="C102" s="321"/>
      <c r="D102" s="342"/>
      <c r="E102" s="326"/>
      <c r="F102" s="326"/>
      <c r="G102" s="326"/>
      <c r="H102" s="277">
        <f t="shared" si="34"/>
        <v>0</v>
      </c>
      <c r="I102" s="326"/>
      <c r="J102" s="326"/>
      <c r="K102" s="326"/>
      <c r="L102" s="326"/>
      <c r="M102" s="909"/>
      <c r="N102" s="759" t="str">
        <f>IF(I102="","NA",IF(M102="",'Building Data schedule'!$C$14,M102))</f>
        <v>NA</v>
      </c>
      <c r="O102" s="684">
        <f t="shared" si="21"/>
        <v>0</v>
      </c>
      <c r="P102" s="911" t="str">
        <f t="shared" si="22"/>
        <v/>
      </c>
      <c r="Q102" s="910">
        <f t="shared" si="23"/>
        <v>0</v>
      </c>
      <c r="R102" s="683">
        <f t="shared" si="24"/>
        <v>0</v>
      </c>
      <c r="S102" s="897" t="str">
        <f t="shared" si="25"/>
        <v/>
      </c>
      <c r="T102" s="709">
        <f t="shared" si="26"/>
        <v>0</v>
      </c>
      <c r="U102" s="893" t="str">
        <f t="shared" si="27"/>
        <v/>
      </c>
      <c r="V102" s="683">
        <f t="shared" si="28"/>
        <v>0.17</v>
      </c>
      <c r="W102" s="683">
        <f t="shared" si="29"/>
        <v>0</v>
      </c>
      <c r="X102" s="683" t="str">
        <f t="shared" si="30"/>
        <v/>
      </c>
      <c r="Y102" s="690"/>
      <c r="Z102" s="695"/>
      <c r="AC102" s="5"/>
      <c r="AD102" s="5"/>
      <c r="AE102" s="5"/>
    </row>
    <row r="103" spans="2:31" s="628" customFormat="1" x14ac:dyDescent="0.25">
      <c r="B103" s="341"/>
      <c r="C103" s="321"/>
      <c r="D103" s="342"/>
      <c r="E103" s="326"/>
      <c r="F103" s="326"/>
      <c r="G103" s="326"/>
      <c r="H103" s="277">
        <f t="shared" si="34"/>
        <v>0</v>
      </c>
      <c r="I103" s="326"/>
      <c r="J103" s="326"/>
      <c r="K103" s="326"/>
      <c r="L103" s="326"/>
      <c r="M103" s="909"/>
      <c r="N103" s="759" t="str">
        <f>IF(I103="","NA",IF(M103="",'Building Data schedule'!$C$14,M103))</f>
        <v>NA</v>
      </c>
      <c r="O103" s="684">
        <f t="shared" si="21"/>
        <v>0</v>
      </c>
      <c r="P103" s="911" t="str">
        <f t="shared" si="22"/>
        <v/>
      </c>
      <c r="Q103" s="910">
        <f t="shared" si="23"/>
        <v>0</v>
      </c>
      <c r="R103" s="683">
        <f t="shared" si="24"/>
        <v>0</v>
      </c>
      <c r="S103" s="897" t="str">
        <f t="shared" si="25"/>
        <v/>
      </c>
      <c r="T103" s="709">
        <f t="shared" si="26"/>
        <v>0</v>
      </c>
      <c r="U103" s="893" t="str">
        <f t="shared" si="27"/>
        <v/>
      </c>
      <c r="V103" s="683">
        <f t="shared" si="28"/>
        <v>0.17</v>
      </c>
      <c r="W103" s="683">
        <f t="shared" si="29"/>
        <v>0</v>
      </c>
      <c r="X103" s="683" t="str">
        <f t="shared" si="30"/>
        <v/>
      </c>
      <c r="Y103" s="690"/>
      <c r="Z103" s="695"/>
      <c r="AC103" s="5"/>
      <c r="AD103" s="5"/>
      <c r="AE103" s="5"/>
    </row>
    <row r="104" spans="2:31" s="628" customFormat="1" x14ac:dyDescent="0.25">
      <c r="B104" s="341"/>
      <c r="C104" s="321"/>
      <c r="D104" s="342"/>
      <c r="E104" s="326"/>
      <c r="F104" s="326"/>
      <c r="G104" s="326"/>
      <c r="H104" s="277">
        <f t="shared" si="34"/>
        <v>0</v>
      </c>
      <c r="I104" s="326"/>
      <c r="J104" s="326"/>
      <c r="K104" s="326"/>
      <c r="L104" s="326"/>
      <c r="M104" s="909"/>
      <c r="N104" s="759" t="str">
        <f>IF(I104="","NA",IF(M104="",'Building Data schedule'!$C$14,M104))</f>
        <v>NA</v>
      </c>
      <c r="O104" s="684">
        <f t="shared" si="21"/>
        <v>0</v>
      </c>
      <c r="P104" s="911" t="str">
        <f t="shared" si="22"/>
        <v/>
      </c>
      <c r="Q104" s="910">
        <f t="shared" si="23"/>
        <v>0</v>
      </c>
      <c r="R104" s="683">
        <f t="shared" si="24"/>
        <v>0</v>
      </c>
      <c r="S104" s="897" t="str">
        <f t="shared" si="25"/>
        <v/>
      </c>
      <c r="T104" s="709">
        <f t="shared" si="26"/>
        <v>0</v>
      </c>
      <c r="U104" s="893" t="str">
        <f t="shared" si="27"/>
        <v/>
      </c>
      <c r="V104" s="683">
        <f t="shared" si="28"/>
        <v>0.17</v>
      </c>
      <c r="W104" s="683">
        <f t="shared" si="29"/>
        <v>0</v>
      </c>
      <c r="X104" s="683" t="str">
        <f t="shared" si="30"/>
        <v/>
      </c>
      <c r="Y104" s="690"/>
      <c r="Z104" s="695"/>
      <c r="AC104" s="5"/>
      <c r="AD104" s="5"/>
      <c r="AE104" s="5"/>
    </row>
    <row r="105" spans="2:31" s="628" customFormat="1" x14ac:dyDescent="0.25">
      <c r="B105" s="341"/>
      <c r="C105" s="321"/>
      <c r="D105" s="342"/>
      <c r="E105" s="326"/>
      <c r="F105" s="326"/>
      <c r="G105" s="326"/>
      <c r="H105" s="277">
        <f t="shared" si="34"/>
        <v>0</v>
      </c>
      <c r="I105" s="326"/>
      <c r="J105" s="326"/>
      <c r="K105" s="326"/>
      <c r="L105" s="326"/>
      <c r="M105" s="909"/>
      <c r="N105" s="759" t="str">
        <f>IF(I105="","NA",IF(M105="",'Building Data schedule'!$C$14,M105))</f>
        <v>NA</v>
      </c>
      <c r="O105" s="684">
        <f t="shared" si="21"/>
        <v>0</v>
      </c>
      <c r="P105" s="911" t="str">
        <f t="shared" si="22"/>
        <v/>
      </c>
      <c r="Q105" s="910">
        <f t="shared" si="23"/>
        <v>0</v>
      </c>
      <c r="R105" s="683">
        <f t="shared" si="24"/>
        <v>0</v>
      </c>
      <c r="S105" s="897" t="str">
        <f t="shared" si="25"/>
        <v/>
      </c>
      <c r="T105" s="709">
        <f t="shared" si="26"/>
        <v>0</v>
      </c>
      <c r="U105" s="893" t="str">
        <f t="shared" si="27"/>
        <v/>
      </c>
      <c r="V105" s="683">
        <f t="shared" si="28"/>
        <v>0.17</v>
      </c>
      <c r="W105" s="683">
        <f t="shared" si="29"/>
        <v>0</v>
      </c>
      <c r="X105" s="683" t="str">
        <f t="shared" si="30"/>
        <v/>
      </c>
      <c r="Y105" s="690"/>
      <c r="Z105" s="695"/>
      <c r="AC105" s="5"/>
      <c r="AD105" s="5"/>
      <c r="AE105" s="5"/>
    </row>
    <row r="106" spans="2:31" s="628" customFormat="1" x14ac:dyDescent="0.25">
      <c r="B106" s="341"/>
      <c r="C106" s="321"/>
      <c r="D106" s="342"/>
      <c r="E106" s="326"/>
      <c r="F106" s="326"/>
      <c r="G106" s="326"/>
      <c r="H106" s="277">
        <f>E106*F106*G106</f>
        <v>0</v>
      </c>
      <c r="I106" s="326"/>
      <c r="J106" s="326"/>
      <c r="K106" s="326"/>
      <c r="L106" s="326"/>
      <c r="M106" s="909"/>
      <c r="N106" s="759" t="str">
        <f>IF(I106="","NA",IF(M106="",'Building Data schedule'!$C$14,M106))</f>
        <v>NA</v>
      </c>
      <c r="O106" s="684">
        <f t="shared" si="21"/>
        <v>0</v>
      </c>
      <c r="P106" s="911" t="str">
        <f t="shared" si="22"/>
        <v/>
      </c>
      <c r="Q106" s="910">
        <f t="shared" si="23"/>
        <v>0</v>
      </c>
      <c r="R106" s="683">
        <f t="shared" si="24"/>
        <v>0</v>
      </c>
      <c r="S106" s="897" t="str">
        <f t="shared" si="25"/>
        <v/>
      </c>
      <c r="T106" s="709">
        <f t="shared" si="26"/>
        <v>0</v>
      </c>
      <c r="U106" s="893" t="str">
        <f t="shared" si="27"/>
        <v/>
      </c>
      <c r="V106" s="683">
        <f t="shared" si="28"/>
        <v>0.17</v>
      </c>
      <c r="W106" s="683">
        <f t="shared" si="29"/>
        <v>0</v>
      </c>
      <c r="X106" s="683" t="str">
        <f t="shared" si="30"/>
        <v/>
      </c>
      <c r="Y106" s="690"/>
      <c r="Z106" s="695"/>
      <c r="AC106" s="5"/>
      <c r="AD106" s="935"/>
      <c r="AE106" s="5"/>
    </row>
    <row r="107" spans="2:31" s="628" customFormat="1" x14ac:dyDescent="0.25">
      <c r="B107" s="341"/>
      <c r="C107" s="321"/>
      <c r="D107" s="342"/>
      <c r="E107" s="326"/>
      <c r="F107" s="326"/>
      <c r="G107" s="326"/>
      <c r="H107" s="277">
        <f>E107*F107*G107</f>
        <v>0</v>
      </c>
      <c r="I107" s="326"/>
      <c r="J107" s="326"/>
      <c r="K107" s="326"/>
      <c r="L107" s="326"/>
      <c r="M107" s="909"/>
      <c r="N107" s="759" t="str">
        <f>IF(I107="","NA",IF(M107="",'Building Data schedule'!$C$14,M107))</f>
        <v>NA</v>
      </c>
      <c r="O107" s="684">
        <f t="shared" si="21"/>
        <v>0</v>
      </c>
      <c r="P107" s="911" t="str">
        <f t="shared" si="22"/>
        <v/>
      </c>
      <c r="Q107" s="910">
        <f t="shared" si="23"/>
        <v>0</v>
      </c>
      <c r="R107" s="683">
        <f t="shared" si="24"/>
        <v>0</v>
      </c>
      <c r="S107" s="897" t="str">
        <f t="shared" si="25"/>
        <v/>
      </c>
      <c r="T107" s="709">
        <f t="shared" si="26"/>
        <v>0</v>
      </c>
      <c r="U107" s="893" t="str">
        <f t="shared" si="27"/>
        <v/>
      </c>
      <c r="V107" s="683">
        <f t="shared" si="28"/>
        <v>0.17</v>
      </c>
      <c r="W107" s="683">
        <f t="shared" si="29"/>
        <v>0</v>
      </c>
      <c r="X107" s="683" t="str">
        <f t="shared" si="30"/>
        <v/>
      </c>
      <c r="Y107" s="690"/>
      <c r="Z107" s="695"/>
      <c r="AC107" s="8"/>
      <c r="AD107" s="5"/>
      <c r="AE107" s="5"/>
    </row>
    <row r="108" spans="2:31" s="628" customFormat="1" x14ac:dyDescent="0.25">
      <c r="B108" s="341"/>
      <c r="C108" s="321"/>
      <c r="D108" s="342"/>
      <c r="E108" s="326"/>
      <c r="F108" s="326"/>
      <c r="G108" s="326"/>
      <c r="H108" s="277">
        <f t="shared" ref="H108:H115" si="35">E108*F108*G108</f>
        <v>0</v>
      </c>
      <c r="I108" s="326"/>
      <c r="J108" s="326"/>
      <c r="K108" s="326"/>
      <c r="L108" s="326"/>
      <c r="M108" s="909"/>
      <c r="N108" s="759" t="str">
        <f>IF(I108="","NA",IF(M108="",'Building Data schedule'!$C$14,M108))</f>
        <v>NA</v>
      </c>
      <c r="O108" s="684">
        <f t="shared" si="21"/>
        <v>0</v>
      </c>
      <c r="P108" s="911" t="str">
        <f t="shared" si="22"/>
        <v/>
      </c>
      <c r="Q108" s="910">
        <f t="shared" si="23"/>
        <v>0</v>
      </c>
      <c r="R108" s="683">
        <f t="shared" si="24"/>
        <v>0</v>
      </c>
      <c r="S108" s="897" t="str">
        <f t="shared" si="25"/>
        <v/>
      </c>
      <c r="T108" s="709">
        <f t="shared" si="26"/>
        <v>0</v>
      </c>
      <c r="U108" s="893" t="str">
        <f t="shared" si="27"/>
        <v/>
      </c>
      <c r="V108" s="683">
        <f t="shared" si="28"/>
        <v>0.17</v>
      </c>
      <c r="W108" s="683">
        <f t="shared" si="29"/>
        <v>0</v>
      </c>
      <c r="X108" s="683" t="str">
        <f t="shared" si="30"/>
        <v/>
      </c>
      <c r="Y108" s="690"/>
      <c r="Z108" s="695"/>
      <c r="AC108" s="8"/>
      <c r="AD108" s="5"/>
      <c r="AE108" s="5"/>
    </row>
    <row r="109" spans="2:31" s="628" customFormat="1" x14ac:dyDescent="0.25">
      <c r="B109" s="341"/>
      <c r="C109" s="321"/>
      <c r="D109" s="342"/>
      <c r="E109" s="326"/>
      <c r="F109" s="326"/>
      <c r="G109" s="326"/>
      <c r="H109" s="277">
        <f t="shared" si="35"/>
        <v>0</v>
      </c>
      <c r="I109" s="326"/>
      <c r="J109" s="326"/>
      <c r="K109" s="326"/>
      <c r="L109" s="326"/>
      <c r="M109" s="909"/>
      <c r="N109" s="759" t="str">
        <f>IF(I109="","NA",IF(M109="",'Building Data schedule'!$C$14,M109))</f>
        <v>NA</v>
      </c>
      <c r="O109" s="684">
        <f t="shared" si="21"/>
        <v>0</v>
      </c>
      <c r="P109" s="911" t="str">
        <f t="shared" si="22"/>
        <v/>
      </c>
      <c r="Q109" s="910">
        <f t="shared" si="23"/>
        <v>0</v>
      </c>
      <c r="R109" s="683">
        <f t="shared" si="24"/>
        <v>0</v>
      </c>
      <c r="S109" s="897" t="str">
        <f t="shared" si="25"/>
        <v/>
      </c>
      <c r="T109" s="709">
        <f t="shared" si="26"/>
        <v>0</v>
      </c>
      <c r="U109" s="893" t="str">
        <f t="shared" si="27"/>
        <v/>
      </c>
      <c r="V109" s="683">
        <f t="shared" si="28"/>
        <v>0.17</v>
      </c>
      <c r="W109" s="683">
        <f t="shared" si="29"/>
        <v>0</v>
      </c>
      <c r="X109" s="683" t="str">
        <f t="shared" si="30"/>
        <v/>
      </c>
      <c r="Y109" s="690"/>
      <c r="Z109" s="695"/>
      <c r="AC109" s="8"/>
      <c r="AD109" s="5"/>
      <c r="AE109" s="5"/>
    </row>
    <row r="110" spans="2:31" s="628" customFormat="1" x14ac:dyDescent="0.25">
      <c r="B110" s="341"/>
      <c r="C110" s="321"/>
      <c r="D110" s="342"/>
      <c r="E110" s="326"/>
      <c r="F110" s="326"/>
      <c r="G110" s="326"/>
      <c r="H110" s="277">
        <f t="shared" si="35"/>
        <v>0</v>
      </c>
      <c r="I110" s="326"/>
      <c r="J110" s="326"/>
      <c r="K110" s="326"/>
      <c r="L110" s="326"/>
      <c r="M110" s="909"/>
      <c r="N110" s="759" t="str">
        <f>IF(I110="","NA",IF(M110="",'Building Data schedule'!$C$14,M110))</f>
        <v>NA</v>
      </c>
      <c r="O110" s="684">
        <f t="shared" si="21"/>
        <v>0</v>
      </c>
      <c r="P110" s="911" t="str">
        <f t="shared" si="22"/>
        <v/>
      </c>
      <c r="Q110" s="910">
        <f t="shared" si="23"/>
        <v>0</v>
      </c>
      <c r="R110" s="683">
        <f t="shared" si="24"/>
        <v>0</v>
      </c>
      <c r="S110" s="897" t="str">
        <f t="shared" si="25"/>
        <v/>
      </c>
      <c r="T110" s="709">
        <f t="shared" si="26"/>
        <v>0</v>
      </c>
      <c r="U110" s="893" t="str">
        <f t="shared" si="27"/>
        <v/>
      </c>
      <c r="V110" s="683">
        <f t="shared" si="28"/>
        <v>0.17</v>
      </c>
      <c r="W110" s="683">
        <f t="shared" si="29"/>
        <v>0</v>
      </c>
      <c r="X110" s="683" t="str">
        <f t="shared" si="30"/>
        <v/>
      </c>
      <c r="Y110" s="690"/>
      <c r="Z110" s="695"/>
      <c r="AC110" s="8"/>
      <c r="AD110" s="5"/>
      <c r="AE110" s="5"/>
    </row>
    <row r="111" spans="2:31" s="628" customFormat="1" x14ac:dyDescent="0.25">
      <c r="B111" s="341"/>
      <c r="C111" s="321"/>
      <c r="D111" s="342"/>
      <c r="E111" s="326"/>
      <c r="F111" s="326"/>
      <c r="G111" s="326"/>
      <c r="H111" s="277">
        <f t="shared" si="35"/>
        <v>0</v>
      </c>
      <c r="I111" s="326"/>
      <c r="J111" s="326"/>
      <c r="K111" s="326"/>
      <c r="L111" s="326"/>
      <c r="M111" s="909"/>
      <c r="N111" s="759" t="str">
        <f>IF(I111="","NA",IF(M111="",'Building Data schedule'!$C$14,M111))</f>
        <v>NA</v>
      </c>
      <c r="O111" s="684">
        <f t="shared" si="21"/>
        <v>0</v>
      </c>
      <c r="P111" s="911" t="str">
        <f t="shared" si="22"/>
        <v/>
      </c>
      <c r="Q111" s="910">
        <f t="shared" si="23"/>
        <v>0</v>
      </c>
      <c r="R111" s="683">
        <f t="shared" si="24"/>
        <v>0</v>
      </c>
      <c r="S111" s="897" t="str">
        <f t="shared" si="25"/>
        <v/>
      </c>
      <c r="T111" s="709">
        <f t="shared" si="26"/>
        <v>0</v>
      </c>
      <c r="U111" s="893" t="str">
        <f t="shared" si="27"/>
        <v/>
      </c>
      <c r="V111" s="683">
        <f t="shared" si="28"/>
        <v>0.17</v>
      </c>
      <c r="W111" s="683">
        <f t="shared" si="29"/>
        <v>0</v>
      </c>
      <c r="X111" s="683" t="str">
        <f t="shared" si="30"/>
        <v/>
      </c>
      <c r="Y111" s="690"/>
      <c r="Z111" s="695"/>
      <c r="AC111" s="5"/>
      <c r="AD111" s="5"/>
      <c r="AE111" s="5"/>
    </row>
    <row r="112" spans="2:31" s="628" customFormat="1" x14ac:dyDescent="0.25">
      <c r="B112" s="341"/>
      <c r="C112" s="321"/>
      <c r="D112" s="342"/>
      <c r="E112" s="326"/>
      <c r="F112" s="326"/>
      <c r="G112" s="326"/>
      <c r="H112" s="277">
        <f t="shared" si="35"/>
        <v>0</v>
      </c>
      <c r="I112" s="326"/>
      <c r="J112" s="326"/>
      <c r="K112" s="326"/>
      <c r="L112" s="326"/>
      <c r="M112" s="909"/>
      <c r="N112" s="759" t="str">
        <f>IF(I112="","NA",IF(M112="",'Building Data schedule'!$C$14,M112))</f>
        <v>NA</v>
      </c>
      <c r="O112" s="684">
        <f t="shared" si="21"/>
        <v>0</v>
      </c>
      <c r="P112" s="911" t="str">
        <f t="shared" si="22"/>
        <v/>
      </c>
      <c r="Q112" s="910">
        <f t="shared" si="23"/>
        <v>0</v>
      </c>
      <c r="R112" s="683">
        <f t="shared" si="24"/>
        <v>0</v>
      </c>
      <c r="S112" s="897" t="str">
        <f t="shared" si="25"/>
        <v/>
      </c>
      <c r="T112" s="709">
        <f t="shared" si="26"/>
        <v>0</v>
      </c>
      <c r="U112" s="893" t="str">
        <f t="shared" si="27"/>
        <v/>
      </c>
      <c r="V112" s="683">
        <f t="shared" si="28"/>
        <v>0.17</v>
      </c>
      <c r="W112" s="683">
        <f t="shared" si="29"/>
        <v>0</v>
      </c>
      <c r="X112" s="683" t="str">
        <f t="shared" si="30"/>
        <v/>
      </c>
      <c r="Y112" s="690"/>
      <c r="Z112" s="695"/>
      <c r="AC112" s="5"/>
      <c r="AD112" s="5"/>
      <c r="AE112" s="5"/>
    </row>
    <row r="113" spans="2:31" s="628" customFormat="1" x14ac:dyDescent="0.25">
      <c r="B113" s="341"/>
      <c r="C113" s="321"/>
      <c r="D113" s="342"/>
      <c r="E113" s="326"/>
      <c r="F113" s="326"/>
      <c r="G113" s="326"/>
      <c r="H113" s="277">
        <f t="shared" si="35"/>
        <v>0</v>
      </c>
      <c r="I113" s="326"/>
      <c r="J113" s="326"/>
      <c r="K113" s="326"/>
      <c r="L113" s="326"/>
      <c r="M113" s="909"/>
      <c r="N113" s="759" t="str">
        <f>IF(I113="","NA",IF(M113="",'Building Data schedule'!$C$14,M113))</f>
        <v>NA</v>
      </c>
      <c r="O113" s="684">
        <f t="shared" si="21"/>
        <v>0</v>
      </c>
      <c r="P113" s="911" t="str">
        <f t="shared" si="22"/>
        <v/>
      </c>
      <c r="Q113" s="910">
        <f t="shared" si="23"/>
        <v>0</v>
      </c>
      <c r="R113" s="683">
        <f t="shared" si="24"/>
        <v>0</v>
      </c>
      <c r="S113" s="897" t="str">
        <f t="shared" si="25"/>
        <v/>
      </c>
      <c r="T113" s="709">
        <f t="shared" si="26"/>
        <v>0</v>
      </c>
      <c r="U113" s="893" t="str">
        <f t="shared" si="27"/>
        <v/>
      </c>
      <c r="V113" s="683">
        <f t="shared" si="28"/>
        <v>0.17</v>
      </c>
      <c r="W113" s="683">
        <f t="shared" si="29"/>
        <v>0</v>
      </c>
      <c r="X113" s="683" t="str">
        <f t="shared" si="30"/>
        <v/>
      </c>
      <c r="Y113" s="690"/>
      <c r="Z113" s="695"/>
      <c r="AC113" s="5"/>
      <c r="AD113" s="5"/>
      <c r="AE113" s="5"/>
    </row>
    <row r="114" spans="2:31" s="628" customFormat="1" x14ac:dyDescent="0.25">
      <c r="B114" s="341"/>
      <c r="C114" s="321"/>
      <c r="D114" s="342"/>
      <c r="E114" s="326"/>
      <c r="F114" s="326"/>
      <c r="G114" s="326"/>
      <c r="H114" s="277">
        <f t="shared" si="35"/>
        <v>0</v>
      </c>
      <c r="I114" s="326"/>
      <c r="J114" s="326"/>
      <c r="K114" s="326"/>
      <c r="L114" s="326"/>
      <c r="M114" s="909"/>
      <c r="N114" s="759" t="str">
        <f>IF(I114="","NA",IF(M114="",'Building Data schedule'!$C$14,M114))</f>
        <v>NA</v>
      </c>
      <c r="O114" s="684">
        <f t="shared" si="21"/>
        <v>0</v>
      </c>
      <c r="P114" s="911" t="str">
        <f t="shared" si="22"/>
        <v/>
      </c>
      <c r="Q114" s="910">
        <f t="shared" si="23"/>
        <v>0</v>
      </c>
      <c r="R114" s="683">
        <f t="shared" si="24"/>
        <v>0</v>
      </c>
      <c r="S114" s="897" t="str">
        <f t="shared" si="25"/>
        <v/>
      </c>
      <c r="T114" s="709">
        <f t="shared" si="26"/>
        <v>0</v>
      </c>
      <c r="U114" s="893" t="str">
        <f t="shared" si="27"/>
        <v/>
      </c>
      <c r="V114" s="683">
        <f t="shared" si="28"/>
        <v>0.17</v>
      </c>
      <c r="W114" s="683">
        <f t="shared" si="29"/>
        <v>0</v>
      </c>
      <c r="X114" s="683" t="str">
        <f t="shared" si="30"/>
        <v/>
      </c>
      <c r="Y114" s="690"/>
      <c r="Z114" s="695"/>
      <c r="AC114" s="5"/>
      <c r="AD114" s="5"/>
      <c r="AE114" s="5"/>
    </row>
    <row r="115" spans="2:31" s="628" customFormat="1" x14ac:dyDescent="0.25">
      <c r="B115" s="341"/>
      <c r="C115" s="321"/>
      <c r="D115" s="342"/>
      <c r="E115" s="326"/>
      <c r="F115" s="326"/>
      <c r="G115" s="326"/>
      <c r="H115" s="277">
        <f t="shared" si="35"/>
        <v>0</v>
      </c>
      <c r="I115" s="326"/>
      <c r="J115" s="326"/>
      <c r="K115" s="326"/>
      <c r="L115" s="326"/>
      <c r="M115" s="909"/>
      <c r="N115" s="759" t="str">
        <f>IF(I115="","NA",IF(M115="",'Building Data schedule'!$C$14,M115))</f>
        <v>NA</v>
      </c>
      <c r="O115" s="684">
        <f t="shared" si="21"/>
        <v>0</v>
      </c>
      <c r="P115" s="911" t="str">
        <f t="shared" si="22"/>
        <v/>
      </c>
      <c r="Q115" s="910">
        <f t="shared" si="23"/>
        <v>0</v>
      </c>
      <c r="R115" s="683">
        <f t="shared" si="24"/>
        <v>0</v>
      </c>
      <c r="S115" s="897" t="str">
        <f t="shared" si="25"/>
        <v/>
      </c>
      <c r="T115" s="709">
        <f t="shared" si="26"/>
        <v>0</v>
      </c>
      <c r="U115" s="893" t="str">
        <f t="shared" si="27"/>
        <v/>
      </c>
      <c r="V115" s="683">
        <f t="shared" si="28"/>
        <v>0.17</v>
      </c>
      <c r="W115" s="683">
        <f t="shared" si="29"/>
        <v>0</v>
      </c>
      <c r="X115" s="683" t="str">
        <f t="shared" si="30"/>
        <v/>
      </c>
      <c r="Y115" s="690"/>
      <c r="Z115" s="695"/>
      <c r="AC115" s="5"/>
      <c r="AD115" s="5"/>
      <c r="AE115" s="5"/>
    </row>
    <row r="116" spans="2:31" s="628" customFormat="1" x14ac:dyDescent="0.25">
      <c r="B116" s="341"/>
      <c r="C116" s="321"/>
      <c r="D116" s="342"/>
      <c r="E116" s="326"/>
      <c r="F116" s="326"/>
      <c r="G116" s="326"/>
      <c r="H116" s="277">
        <f>E116*F116*G116</f>
        <v>0</v>
      </c>
      <c r="I116" s="326"/>
      <c r="J116" s="326"/>
      <c r="K116" s="326"/>
      <c r="L116" s="326"/>
      <c r="M116" s="909"/>
      <c r="N116" s="759" t="str">
        <f>IF(I116="","NA",IF(M116="",'Building Data schedule'!$C$14,M116))</f>
        <v>NA</v>
      </c>
      <c r="O116" s="684">
        <f t="shared" si="21"/>
        <v>0</v>
      </c>
      <c r="P116" s="911" t="str">
        <f t="shared" si="22"/>
        <v/>
      </c>
      <c r="Q116" s="910">
        <f t="shared" si="23"/>
        <v>0</v>
      </c>
      <c r="R116" s="683">
        <f t="shared" si="24"/>
        <v>0</v>
      </c>
      <c r="S116" s="897" t="str">
        <f t="shared" si="25"/>
        <v/>
      </c>
      <c r="T116" s="709">
        <f t="shared" si="26"/>
        <v>0</v>
      </c>
      <c r="U116" s="893" t="str">
        <f t="shared" si="27"/>
        <v/>
      </c>
      <c r="V116" s="683">
        <f t="shared" si="28"/>
        <v>0.17</v>
      </c>
      <c r="W116" s="683">
        <f t="shared" si="29"/>
        <v>0</v>
      </c>
      <c r="X116" s="683" t="str">
        <f t="shared" si="30"/>
        <v/>
      </c>
      <c r="Y116" s="690"/>
      <c r="Z116" s="695"/>
      <c r="AC116" s="5"/>
      <c r="AD116" s="5"/>
      <c r="AE116" s="5"/>
    </row>
    <row r="117" spans="2:31" s="628" customFormat="1" x14ac:dyDescent="0.25">
      <c r="B117" s="341"/>
      <c r="C117" s="321"/>
      <c r="D117" s="342"/>
      <c r="E117" s="326"/>
      <c r="F117" s="326"/>
      <c r="G117" s="326"/>
      <c r="H117" s="277">
        <f>E117*F117*G117</f>
        <v>0</v>
      </c>
      <c r="I117" s="326"/>
      <c r="J117" s="326"/>
      <c r="K117" s="326"/>
      <c r="L117" s="326"/>
      <c r="M117" s="909"/>
      <c r="N117" s="759" t="str">
        <f>IF(I117="","NA",IF(M117="",'Building Data schedule'!$C$14,M117))</f>
        <v>NA</v>
      </c>
      <c r="O117" s="684">
        <f t="shared" si="21"/>
        <v>0</v>
      </c>
      <c r="P117" s="911" t="str">
        <f t="shared" si="22"/>
        <v/>
      </c>
      <c r="Q117" s="910">
        <f t="shared" si="23"/>
        <v>0</v>
      </c>
      <c r="R117" s="683">
        <f t="shared" si="24"/>
        <v>0</v>
      </c>
      <c r="S117" s="897" t="str">
        <f t="shared" si="25"/>
        <v/>
      </c>
      <c r="T117" s="709">
        <f t="shared" si="26"/>
        <v>0</v>
      </c>
      <c r="U117" s="893" t="str">
        <f t="shared" si="27"/>
        <v/>
      </c>
      <c r="V117" s="683">
        <f t="shared" si="28"/>
        <v>0.17</v>
      </c>
      <c r="W117" s="683">
        <f t="shared" si="29"/>
        <v>0</v>
      </c>
      <c r="X117" s="683" t="str">
        <f t="shared" si="30"/>
        <v/>
      </c>
      <c r="Y117" s="690"/>
      <c r="Z117" s="695"/>
      <c r="AC117" s="8"/>
      <c r="AD117" s="5"/>
      <c r="AE117" s="5"/>
    </row>
    <row r="118" spans="2:31" s="628" customFormat="1" x14ac:dyDescent="0.25">
      <c r="B118" s="341"/>
      <c r="C118" s="321"/>
      <c r="D118" s="342"/>
      <c r="E118" s="326"/>
      <c r="F118" s="326"/>
      <c r="G118" s="326"/>
      <c r="H118" s="277">
        <f t="shared" ref="H118:H125" si="36">E118*F118*G118</f>
        <v>0</v>
      </c>
      <c r="I118" s="326"/>
      <c r="J118" s="326"/>
      <c r="K118" s="326"/>
      <c r="L118" s="326"/>
      <c r="M118" s="909"/>
      <c r="N118" s="759" t="str">
        <f>IF(I118="","NA",IF(M118="",'Building Data schedule'!$C$14,M118))</f>
        <v>NA</v>
      </c>
      <c r="O118" s="684">
        <f t="shared" si="21"/>
        <v>0</v>
      </c>
      <c r="P118" s="911" t="str">
        <f t="shared" si="22"/>
        <v/>
      </c>
      <c r="Q118" s="910">
        <f t="shared" si="23"/>
        <v>0</v>
      </c>
      <c r="R118" s="683">
        <f t="shared" si="24"/>
        <v>0</v>
      </c>
      <c r="S118" s="897" t="str">
        <f t="shared" si="25"/>
        <v/>
      </c>
      <c r="T118" s="709">
        <f t="shared" si="26"/>
        <v>0</v>
      </c>
      <c r="U118" s="893" t="str">
        <f t="shared" si="27"/>
        <v/>
      </c>
      <c r="V118" s="683">
        <f t="shared" si="28"/>
        <v>0.17</v>
      </c>
      <c r="W118" s="683">
        <f t="shared" si="29"/>
        <v>0</v>
      </c>
      <c r="X118" s="683" t="str">
        <f t="shared" si="30"/>
        <v/>
      </c>
      <c r="Y118" s="690"/>
      <c r="Z118" s="695"/>
      <c r="AC118" s="8"/>
      <c r="AD118" s="5"/>
      <c r="AE118" s="5"/>
    </row>
    <row r="119" spans="2:31" s="628" customFormat="1" x14ac:dyDescent="0.25">
      <c r="B119" s="341"/>
      <c r="C119" s="321"/>
      <c r="D119" s="342"/>
      <c r="E119" s="326"/>
      <c r="F119" s="326"/>
      <c r="G119" s="326"/>
      <c r="H119" s="277">
        <f t="shared" si="36"/>
        <v>0</v>
      </c>
      <c r="I119" s="326"/>
      <c r="J119" s="326"/>
      <c r="K119" s="326"/>
      <c r="L119" s="326"/>
      <c r="M119" s="909"/>
      <c r="N119" s="759" t="str">
        <f>IF(I119="","NA",IF(M119="",'Building Data schedule'!$C$14,M119))</f>
        <v>NA</v>
      </c>
      <c r="O119" s="684">
        <f t="shared" si="21"/>
        <v>0</v>
      </c>
      <c r="P119" s="911" t="str">
        <f t="shared" si="22"/>
        <v/>
      </c>
      <c r="Q119" s="910">
        <f t="shared" si="23"/>
        <v>0</v>
      </c>
      <c r="R119" s="683">
        <f t="shared" si="24"/>
        <v>0</v>
      </c>
      <c r="S119" s="897" t="str">
        <f t="shared" si="25"/>
        <v/>
      </c>
      <c r="T119" s="709">
        <f t="shared" si="26"/>
        <v>0</v>
      </c>
      <c r="U119" s="893" t="str">
        <f t="shared" si="27"/>
        <v/>
      </c>
      <c r="V119" s="683">
        <f t="shared" si="28"/>
        <v>0.17</v>
      </c>
      <c r="W119" s="683">
        <f t="shared" si="29"/>
        <v>0</v>
      </c>
      <c r="X119" s="683" t="str">
        <f t="shared" si="30"/>
        <v/>
      </c>
      <c r="Y119" s="690"/>
      <c r="Z119" s="695"/>
      <c r="AC119" s="8"/>
      <c r="AD119" s="5"/>
      <c r="AE119" s="5"/>
    </row>
    <row r="120" spans="2:31" s="628" customFormat="1" x14ac:dyDescent="0.25">
      <c r="B120" s="341"/>
      <c r="C120" s="321"/>
      <c r="D120" s="342"/>
      <c r="E120" s="326"/>
      <c r="F120" s="326"/>
      <c r="G120" s="326"/>
      <c r="H120" s="277">
        <f t="shared" si="36"/>
        <v>0</v>
      </c>
      <c r="I120" s="326"/>
      <c r="J120" s="326"/>
      <c r="K120" s="326"/>
      <c r="L120" s="326"/>
      <c r="M120" s="909"/>
      <c r="N120" s="759" t="str">
        <f>IF(I120="","NA",IF(M120="",'Building Data schedule'!$C$14,M120))</f>
        <v>NA</v>
      </c>
      <c r="O120" s="684">
        <f t="shared" si="21"/>
        <v>0</v>
      </c>
      <c r="P120" s="911" t="str">
        <f t="shared" si="22"/>
        <v/>
      </c>
      <c r="Q120" s="910">
        <f t="shared" si="23"/>
        <v>0</v>
      </c>
      <c r="R120" s="683">
        <f t="shared" si="24"/>
        <v>0</v>
      </c>
      <c r="S120" s="897" t="str">
        <f t="shared" si="25"/>
        <v/>
      </c>
      <c r="T120" s="709">
        <f t="shared" si="26"/>
        <v>0</v>
      </c>
      <c r="U120" s="893" t="str">
        <f t="shared" si="27"/>
        <v/>
      </c>
      <c r="V120" s="683">
        <f t="shared" si="28"/>
        <v>0.17</v>
      </c>
      <c r="W120" s="683">
        <f t="shared" si="29"/>
        <v>0</v>
      </c>
      <c r="X120" s="683" t="str">
        <f t="shared" si="30"/>
        <v/>
      </c>
      <c r="Y120" s="690"/>
      <c r="Z120" s="695"/>
      <c r="AC120" s="8"/>
      <c r="AD120" s="5"/>
      <c r="AE120" s="5"/>
    </row>
    <row r="121" spans="2:31" s="628" customFormat="1" x14ac:dyDescent="0.25">
      <c r="B121" s="341"/>
      <c r="C121" s="321"/>
      <c r="D121" s="342"/>
      <c r="E121" s="326"/>
      <c r="F121" s="326"/>
      <c r="G121" s="326"/>
      <c r="H121" s="277">
        <f t="shared" si="36"/>
        <v>0</v>
      </c>
      <c r="I121" s="326"/>
      <c r="J121" s="326"/>
      <c r="K121" s="326"/>
      <c r="L121" s="326"/>
      <c r="M121" s="909"/>
      <c r="N121" s="759" t="str">
        <f>IF(I121="","NA",IF(M121="",'Building Data schedule'!$C$14,M121))</f>
        <v>NA</v>
      </c>
      <c r="O121" s="684">
        <f t="shared" si="21"/>
        <v>0</v>
      </c>
      <c r="P121" s="911" t="str">
        <f t="shared" si="22"/>
        <v/>
      </c>
      <c r="Q121" s="910">
        <f t="shared" si="23"/>
        <v>0</v>
      </c>
      <c r="R121" s="683">
        <f t="shared" si="24"/>
        <v>0</v>
      </c>
      <c r="S121" s="897" t="str">
        <f t="shared" si="25"/>
        <v/>
      </c>
      <c r="T121" s="709">
        <f t="shared" si="26"/>
        <v>0</v>
      </c>
      <c r="U121" s="893" t="str">
        <f t="shared" si="27"/>
        <v/>
      </c>
      <c r="V121" s="683">
        <f t="shared" si="28"/>
        <v>0.17</v>
      </c>
      <c r="W121" s="683">
        <f t="shared" si="29"/>
        <v>0</v>
      </c>
      <c r="X121" s="683" t="str">
        <f t="shared" si="30"/>
        <v/>
      </c>
      <c r="Y121" s="690"/>
      <c r="Z121" s="695"/>
      <c r="AC121" s="5"/>
      <c r="AD121" s="5"/>
      <c r="AE121" s="5"/>
    </row>
    <row r="122" spans="2:31" s="628" customFormat="1" x14ac:dyDescent="0.25">
      <c r="B122" s="341"/>
      <c r="C122" s="321"/>
      <c r="D122" s="342"/>
      <c r="E122" s="326"/>
      <c r="F122" s="326"/>
      <c r="G122" s="326"/>
      <c r="H122" s="277">
        <f t="shared" si="36"/>
        <v>0</v>
      </c>
      <c r="I122" s="326"/>
      <c r="J122" s="326"/>
      <c r="K122" s="326"/>
      <c r="L122" s="326"/>
      <c r="M122" s="909"/>
      <c r="N122" s="759" t="str">
        <f>IF(I122="","NA",IF(M122="",'Building Data schedule'!$C$14,M122))</f>
        <v>NA</v>
      </c>
      <c r="O122" s="684">
        <f t="shared" si="21"/>
        <v>0</v>
      </c>
      <c r="P122" s="911" t="str">
        <f t="shared" si="22"/>
        <v/>
      </c>
      <c r="Q122" s="910">
        <f t="shared" si="23"/>
        <v>0</v>
      </c>
      <c r="R122" s="683">
        <f t="shared" si="24"/>
        <v>0</v>
      </c>
      <c r="S122" s="897" t="str">
        <f t="shared" si="25"/>
        <v/>
      </c>
      <c r="T122" s="709">
        <f t="shared" si="26"/>
        <v>0</v>
      </c>
      <c r="U122" s="893" t="str">
        <f t="shared" si="27"/>
        <v/>
      </c>
      <c r="V122" s="683">
        <f t="shared" si="28"/>
        <v>0.17</v>
      </c>
      <c r="W122" s="683">
        <f t="shared" si="29"/>
        <v>0</v>
      </c>
      <c r="X122" s="683" t="str">
        <f t="shared" si="30"/>
        <v/>
      </c>
      <c r="Y122" s="690"/>
      <c r="Z122" s="695"/>
      <c r="AC122" s="5"/>
      <c r="AD122" s="5"/>
      <c r="AE122" s="5"/>
    </row>
    <row r="123" spans="2:31" s="628" customFormat="1" x14ac:dyDescent="0.25">
      <c r="B123" s="341"/>
      <c r="C123" s="321"/>
      <c r="D123" s="342"/>
      <c r="E123" s="326"/>
      <c r="F123" s="326"/>
      <c r="G123" s="326"/>
      <c r="H123" s="277">
        <f t="shared" si="36"/>
        <v>0</v>
      </c>
      <c r="I123" s="326"/>
      <c r="J123" s="326"/>
      <c r="K123" s="326"/>
      <c r="L123" s="326"/>
      <c r="M123" s="909"/>
      <c r="N123" s="759" t="str">
        <f>IF(I123="","NA",IF(M123="",'Building Data schedule'!$C$14,M123))</f>
        <v>NA</v>
      </c>
      <c r="O123" s="684">
        <f t="shared" si="21"/>
        <v>0</v>
      </c>
      <c r="P123" s="911" t="str">
        <f t="shared" si="22"/>
        <v/>
      </c>
      <c r="Q123" s="910">
        <f t="shared" si="23"/>
        <v>0</v>
      </c>
      <c r="R123" s="683">
        <f t="shared" si="24"/>
        <v>0</v>
      </c>
      <c r="S123" s="897" t="str">
        <f t="shared" si="25"/>
        <v/>
      </c>
      <c r="T123" s="709">
        <f t="shared" si="26"/>
        <v>0</v>
      </c>
      <c r="U123" s="893" t="str">
        <f t="shared" si="27"/>
        <v/>
      </c>
      <c r="V123" s="683">
        <f t="shared" si="28"/>
        <v>0.17</v>
      </c>
      <c r="W123" s="683">
        <f t="shared" si="29"/>
        <v>0</v>
      </c>
      <c r="X123" s="683" t="str">
        <f t="shared" si="30"/>
        <v/>
      </c>
      <c r="Y123" s="690"/>
      <c r="Z123" s="695"/>
      <c r="AC123" s="5"/>
      <c r="AD123" s="5"/>
      <c r="AE123" s="5"/>
    </row>
    <row r="124" spans="2:31" s="628" customFormat="1" x14ac:dyDescent="0.25">
      <c r="B124" s="341"/>
      <c r="C124" s="321"/>
      <c r="D124" s="342"/>
      <c r="E124" s="326"/>
      <c r="F124" s="326"/>
      <c r="G124" s="326"/>
      <c r="H124" s="277">
        <f t="shared" si="36"/>
        <v>0</v>
      </c>
      <c r="I124" s="326"/>
      <c r="J124" s="326"/>
      <c r="K124" s="326"/>
      <c r="L124" s="326"/>
      <c r="M124" s="909"/>
      <c r="N124" s="759" t="str">
        <f>IF(I124="","NA",IF(M124="",'Building Data schedule'!$C$14,M124))</f>
        <v>NA</v>
      </c>
      <c r="O124" s="684">
        <f t="shared" si="21"/>
        <v>0</v>
      </c>
      <c r="P124" s="911" t="str">
        <f t="shared" si="22"/>
        <v/>
      </c>
      <c r="Q124" s="910">
        <f t="shared" si="23"/>
        <v>0</v>
      </c>
      <c r="R124" s="683">
        <f t="shared" si="24"/>
        <v>0</v>
      </c>
      <c r="S124" s="897" t="str">
        <f t="shared" si="25"/>
        <v/>
      </c>
      <c r="T124" s="709">
        <f t="shared" si="26"/>
        <v>0</v>
      </c>
      <c r="U124" s="893" t="str">
        <f t="shared" si="27"/>
        <v/>
      </c>
      <c r="V124" s="683">
        <f t="shared" si="28"/>
        <v>0.17</v>
      </c>
      <c r="W124" s="683">
        <f t="shared" si="29"/>
        <v>0</v>
      </c>
      <c r="X124" s="683" t="str">
        <f t="shared" si="30"/>
        <v/>
      </c>
      <c r="Y124" s="690"/>
      <c r="Z124" s="695"/>
      <c r="AC124" s="5"/>
      <c r="AD124" s="5"/>
      <c r="AE124" s="5"/>
    </row>
    <row r="125" spans="2:31" s="628" customFormat="1" x14ac:dyDescent="0.25">
      <c r="B125" s="341"/>
      <c r="C125" s="321"/>
      <c r="D125" s="342"/>
      <c r="E125" s="326"/>
      <c r="F125" s="326"/>
      <c r="G125" s="326"/>
      <c r="H125" s="277">
        <f t="shared" si="36"/>
        <v>0</v>
      </c>
      <c r="I125" s="326"/>
      <c r="J125" s="326"/>
      <c r="K125" s="326"/>
      <c r="L125" s="326"/>
      <c r="M125" s="909"/>
      <c r="N125" s="759" t="str">
        <f>IF(I125="","NA",IF(M125="",'Building Data schedule'!$C$14,M125))</f>
        <v>NA</v>
      </c>
      <c r="O125" s="684">
        <f t="shared" si="21"/>
        <v>0</v>
      </c>
      <c r="P125" s="911" t="str">
        <f t="shared" si="22"/>
        <v/>
      </c>
      <c r="Q125" s="910">
        <f t="shared" si="23"/>
        <v>0</v>
      </c>
      <c r="R125" s="683">
        <f t="shared" si="24"/>
        <v>0</v>
      </c>
      <c r="S125" s="897" t="str">
        <f t="shared" si="25"/>
        <v/>
      </c>
      <c r="T125" s="709">
        <f t="shared" si="26"/>
        <v>0</v>
      </c>
      <c r="U125" s="893" t="str">
        <f t="shared" si="27"/>
        <v/>
      </c>
      <c r="V125" s="683">
        <f t="shared" si="28"/>
        <v>0.17</v>
      </c>
      <c r="W125" s="683">
        <f t="shared" si="29"/>
        <v>0</v>
      </c>
      <c r="X125" s="683" t="str">
        <f t="shared" si="30"/>
        <v/>
      </c>
      <c r="Y125" s="690"/>
      <c r="Z125" s="695"/>
      <c r="AC125" s="5"/>
      <c r="AD125" s="5"/>
      <c r="AE125" s="5"/>
    </row>
    <row r="126" spans="2:31" s="628" customFormat="1" x14ac:dyDescent="0.25">
      <c r="B126" s="341"/>
      <c r="C126" s="321"/>
      <c r="D126" s="342"/>
      <c r="E126" s="326"/>
      <c r="F126" s="326"/>
      <c r="G126" s="326"/>
      <c r="H126" s="277">
        <f>E126*F126*G126</f>
        <v>0</v>
      </c>
      <c r="I126" s="326"/>
      <c r="J126" s="326"/>
      <c r="K126" s="326"/>
      <c r="L126" s="326"/>
      <c r="M126" s="909"/>
      <c r="N126" s="759" t="str">
        <f>IF(I126="","NA",IF(M126="",'Building Data schedule'!$C$14,M126))</f>
        <v>NA</v>
      </c>
      <c r="O126" s="684">
        <f t="shared" si="21"/>
        <v>0</v>
      </c>
      <c r="P126" s="911" t="str">
        <f t="shared" si="22"/>
        <v/>
      </c>
      <c r="Q126" s="910">
        <f t="shared" si="23"/>
        <v>0</v>
      </c>
      <c r="R126" s="683">
        <f t="shared" si="24"/>
        <v>0</v>
      </c>
      <c r="S126" s="897" t="str">
        <f t="shared" si="25"/>
        <v/>
      </c>
      <c r="T126" s="709">
        <f t="shared" si="26"/>
        <v>0</v>
      </c>
      <c r="U126" s="893" t="str">
        <f t="shared" si="27"/>
        <v/>
      </c>
      <c r="V126" s="683">
        <f t="shared" si="28"/>
        <v>0.17</v>
      </c>
      <c r="W126" s="683">
        <f t="shared" si="29"/>
        <v>0</v>
      </c>
      <c r="X126" s="683" t="str">
        <f t="shared" si="30"/>
        <v/>
      </c>
      <c r="Y126" s="690"/>
      <c r="Z126" s="695"/>
      <c r="AC126" s="5"/>
      <c r="AD126" s="5"/>
      <c r="AE126" s="5"/>
    </row>
    <row r="127" spans="2:31" s="628" customFormat="1" x14ac:dyDescent="0.25">
      <c r="B127" s="341"/>
      <c r="C127" s="321"/>
      <c r="D127" s="342"/>
      <c r="E127" s="326"/>
      <c r="F127" s="326"/>
      <c r="G127" s="326"/>
      <c r="H127" s="277">
        <f>E127*F127*G127</f>
        <v>0</v>
      </c>
      <c r="I127" s="326"/>
      <c r="J127" s="326"/>
      <c r="K127" s="326"/>
      <c r="L127" s="326"/>
      <c r="M127" s="909"/>
      <c r="N127" s="759" t="str">
        <f>IF(I127="","NA",IF(M127="",'Building Data schedule'!$C$14,M127))</f>
        <v>NA</v>
      </c>
      <c r="O127" s="684">
        <f t="shared" si="21"/>
        <v>0</v>
      </c>
      <c r="P127" s="911" t="str">
        <f t="shared" si="22"/>
        <v/>
      </c>
      <c r="Q127" s="910">
        <f t="shared" si="23"/>
        <v>0</v>
      </c>
      <c r="R127" s="683">
        <f t="shared" si="24"/>
        <v>0</v>
      </c>
      <c r="S127" s="897" t="str">
        <f t="shared" si="25"/>
        <v/>
      </c>
      <c r="T127" s="709">
        <f t="shared" si="26"/>
        <v>0</v>
      </c>
      <c r="U127" s="893" t="str">
        <f t="shared" si="27"/>
        <v/>
      </c>
      <c r="V127" s="683">
        <f t="shared" si="28"/>
        <v>0.17</v>
      </c>
      <c r="W127" s="683">
        <f t="shared" si="29"/>
        <v>0</v>
      </c>
      <c r="X127" s="683" t="str">
        <f t="shared" si="30"/>
        <v/>
      </c>
      <c r="Y127" s="690"/>
      <c r="Z127" s="695"/>
      <c r="AC127" s="8"/>
      <c r="AD127" s="5"/>
      <c r="AE127" s="5"/>
    </row>
    <row r="128" spans="2:31" s="628" customFormat="1" x14ac:dyDescent="0.25">
      <c r="B128" s="341"/>
      <c r="C128" s="321"/>
      <c r="D128" s="342"/>
      <c r="E128" s="326"/>
      <c r="F128" s="326"/>
      <c r="G128" s="326"/>
      <c r="H128" s="277">
        <f t="shared" ref="H128:H135" si="37">E128*F128*G128</f>
        <v>0</v>
      </c>
      <c r="I128" s="326"/>
      <c r="J128" s="326"/>
      <c r="K128" s="326"/>
      <c r="L128" s="326"/>
      <c r="M128" s="909"/>
      <c r="N128" s="759" t="str">
        <f>IF(I128="","NA",IF(M128="",'Building Data schedule'!$C$14,M128))</f>
        <v>NA</v>
      </c>
      <c r="O128" s="684">
        <f t="shared" si="21"/>
        <v>0</v>
      </c>
      <c r="P128" s="911" t="str">
        <f t="shared" si="22"/>
        <v/>
      </c>
      <c r="Q128" s="910">
        <f t="shared" si="23"/>
        <v>0</v>
      </c>
      <c r="R128" s="683">
        <f t="shared" si="24"/>
        <v>0</v>
      </c>
      <c r="S128" s="897" t="str">
        <f t="shared" si="25"/>
        <v/>
      </c>
      <c r="T128" s="709">
        <f t="shared" si="26"/>
        <v>0</v>
      </c>
      <c r="U128" s="893" t="str">
        <f t="shared" si="27"/>
        <v/>
      </c>
      <c r="V128" s="683">
        <f t="shared" si="28"/>
        <v>0.17</v>
      </c>
      <c r="W128" s="683">
        <f t="shared" si="29"/>
        <v>0</v>
      </c>
      <c r="X128" s="683" t="str">
        <f t="shared" si="30"/>
        <v/>
      </c>
      <c r="Y128" s="690"/>
      <c r="Z128" s="695"/>
      <c r="AC128" s="8"/>
      <c r="AD128" s="5"/>
      <c r="AE128" s="5"/>
    </row>
    <row r="129" spans="2:31" s="628" customFormat="1" x14ac:dyDescent="0.25">
      <c r="B129" s="341"/>
      <c r="C129" s="321"/>
      <c r="D129" s="342"/>
      <c r="E129" s="326"/>
      <c r="F129" s="326"/>
      <c r="G129" s="326"/>
      <c r="H129" s="277">
        <f t="shared" si="37"/>
        <v>0</v>
      </c>
      <c r="I129" s="326"/>
      <c r="J129" s="326"/>
      <c r="K129" s="326"/>
      <c r="L129" s="326"/>
      <c r="M129" s="909"/>
      <c r="N129" s="759" t="str">
        <f>IF(I129="","NA",IF(M129="",'Building Data schedule'!$C$14,M129))</f>
        <v>NA</v>
      </c>
      <c r="O129" s="684">
        <f t="shared" si="21"/>
        <v>0</v>
      </c>
      <c r="P129" s="911" t="str">
        <f t="shared" si="22"/>
        <v/>
      </c>
      <c r="Q129" s="910">
        <f t="shared" si="23"/>
        <v>0</v>
      </c>
      <c r="R129" s="683">
        <f t="shared" si="24"/>
        <v>0</v>
      </c>
      <c r="S129" s="897" t="str">
        <f t="shared" si="25"/>
        <v/>
      </c>
      <c r="T129" s="709">
        <f t="shared" si="26"/>
        <v>0</v>
      </c>
      <c r="U129" s="893" t="str">
        <f t="shared" si="27"/>
        <v/>
      </c>
      <c r="V129" s="683">
        <f t="shared" si="28"/>
        <v>0.17</v>
      </c>
      <c r="W129" s="683">
        <f t="shared" si="29"/>
        <v>0</v>
      </c>
      <c r="X129" s="683" t="str">
        <f t="shared" si="30"/>
        <v/>
      </c>
      <c r="Y129" s="690"/>
      <c r="Z129" s="695"/>
      <c r="AC129" s="8"/>
      <c r="AD129" s="5"/>
      <c r="AE129" s="5"/>
    </row>
    <row r="130" spans="2:31" s="628" customFormat="1" x14ac:dyDescent="0.25">
      <c r="B130" s="341"/>
      <c r="C130" s="321"/>
      <c r="D130" s="342"/>
      <c r="E130" s="326"/>
      <c r="F130" s="326"/>
      <c r="G130" s="326"/>
      <c r="H130" s="277">
        <f t="shared" si="37"/>
        <v>0</v>
      </c>
      <c r="I130" s="326"/>
      <c r="J130" s="326"/>
      <c r="K130" s="326"/>
      <c r="L130" s="326"/>
      <c r="M130" s="909"/>
      <c r="N130" s="759" t="str">
        <f>IF(I130="","NA",IF(M130="",'Building Data schedule'!$C$14,M130))</f>
        <v>NA</v>
      </c>
      <c r="O130" s="684">
        <f t="shared" si="21"/>
        <v>0</v>
      </c>
      <c r="P130" s="911" t="str">
        <f t="shared" si="22"/>
        <v/>
      </c>
      <c r="Q130" s="910">
        <f t="shared" si="23"/>
        <v>0</v>
      </c>
      <c r="R130" s="683">
        <f t="shared" si="24"/>
        <v>0</v>
      </c>
      <c r="S130" s="897" t="str">
        <f t="shared" si="25"/>
        <v/>
      </c>
      <c r="T130" s="709">
        <f t="shared" si="26"/>
        <v>0</v>
      </c>
      <c r="U130" s="893" t="str">
        <f t="shared" si="27"/>
        <v/>
      </c>
      <c r="V130" s="683">
        <f t="shared" si="28"/>
        <v>0.17</v>
      </c>
      <c r="W130" s="683">
        <f t="shared" si="29"/>
        <v>0</v>
      </c>
      <c r="X130" s="683" t="str">
        <f t="shared" si="30"/>
        <v/>
      </c>
      <c r="Y130" s="690"/>
      <c r="Z130" s="695"/>
      <c r="AC130" s="8"/>
      <c r="AD130" s="5"/>
      <c r="AE130" s="5"/>
    </row>
    <row r="131" spans="2:31" s="628" customFormat="1" x14ac:dyDescent="0.25">
      <c r="B131" s="341"/>
      <c r="C131" s="321"/>
      <c r="D131" s="342"/>
      <c r="E131" s="326"/>
      <c r="F131" s="326"/>
      <c r="G131" s="326"/>
      <c r="H131" s="277">
        <f t="shared" si="37"/>
        <v>0</v>
      </c>
      <c r="I131" s="326"/>
      <c r="J131" s="326"/>
      <c r="K131" s="326"/>
      <c r="L131" s="326"/>
      <c r="M131" s="909"/>
      <c r="N131" s="759" t="str">
        <f>IF(I131="","NA",IF(M131="",'Building Data schedule'!$C$14,M131))</f>
        <v>NA</v>
      </c>
      <c r="O131" s="684">
        <f t="shared" si="21"/>
        <v>0</v>
      </c>
      <c r="P131" s="911" t="str">
        <f t="shared" si="22"/>
        <v/>
      </c>
      <c r="Q131" s="910">
        <f t="shared" si="23"/>
        <v>0</v>
      </c>
      <c r="R131" s="683">
        <f t="shared" si="24"/>
        <v>0</v>
      </c>
      <c r="S131" s="897" t="str">
        <f t="shared" si="25"/>
        <v/>
      </c>
      <c r="T131" s="709">
        <f t="shared" si="26"/>
        <v>0</v>
      </c>
      <c r="U131" s="893" t="str">
        <f t="shared" si="27"/>
        <v/>
      </c>
      <c r="V131" s="683">
        <f t="shared" si="28"/>
        <v>0.17</v>
      </c>
      <c r="W131" s="683">
        <f t="shared" si="29"/>
        <v>0</v>
      </c>
      <c r="X131" s="683" t="str">
        <f t="shared" si="30"/>
        <v/>
      </c>
      <c r="Y131" s="690"/>
      <c r="Z131" s="695"/>
      <c r="AC131" s="5"/>
      <c r="AD131" s="5"/>
      <c r="AE131" s="5"/>
    </row>
    <row r="132" spans="2:31" s="628" customFormat="1" x14ac:dyDescent="0.25">
      <c r="B132" s="341"/>
      <c r="C132" s="321"/>
      <c r="D132" s="342"/>
      <c r="E132" s="326"/>
      <c r="F132" s="326"/>
      <c r="G132" s="326"/>
      <c r="H132" s="277">
        <f t="shared" si="37"/>
        <v>0</v>
      </c>
      <c r="I132" s="326"/>
      <c r="J132" s="326"/>
      <c r="K132" s="326"/>
      <c r="L132" s="326"/>
      <c r="M132" s="909"/>
      <c r="N132" s="759" t="str">
        <f>IF(I132="","NA",IF(M132="",'Building Data schedule'!$C$14,M132))</f>
        <v>NA</v>
      </c>
      <c r="O132" s="684">
        <f t="shared" si="21"/>
        <v>0</v>
      </c>
      <c r="P132" s="911" t="str">
        <f t="shared" si="22"/>
        <v/>
      </c>
      <c r="Q132" s="910">
        <f t="shared" si="23"/>
        <v>0</v>
      </c>
      <c r="R132" s="683">
        <f t="shared" si="24"/>
        <v>0</v>
      </c>
      <c r="S132" s="897" t="str">
        <f t="shared" si="25"/>
        <v/>
      </c>
      <c r="T132" s="709">
        <f t="shared" si="26"/>
        <v>0</v>
      </c>
      <c r="U132" s="893" t="str">
        <f t="shared" si="27"/>
        <v/>
      </c>
      <c r="V132" s="683">
        <f t="shared" si="28"/>
        <v>0.17</v>
      </c>
      <c r="W132" s="683">
        <f t="shared" si="29"/>
        <v>0</v>
      </c>
      <c r="X132" s="683" t="str">
        <f t="shared" si="30"/>
        <v/>
      </c>
      <c r="Y132" s="690"/>
      <c r="Z132" s="695"/>
      <c r="AC132" s="5"/>
      <c r="AD132" s="5"/>
      <c r="AE132" s="5"/>
    </row>
    <row r="133" spans="2:31" s="628" customFormat="1" x14ac:dyDescent="0.25">
      <c r="B133" s="341"/>
      <c r="C133" s="321"/>
      <c r="D133" s="342"/>
      <c r="E133" s="326"/>
      <c r="F133" s="326"/>
      <c r="G133" s="326"/>
      <c r="H133" s="277">
        <f t="shared" si="37"/>
        <v>0</v>
      </c>
      <c r="I133" s="326"/>
      <c r="J133" s="326"/>
      <c r="K133" s="326"/>
      <c r="L133" s="326"/>
      <c r="M133" s="909"/>
      <c r="N133" s="759" t="str">
        <f>IF(I133="","NA",IF(M133="",'Building Data schedule'!$C$14,M133))</f>
        <v>NA</v>
      </c>
      <c r="O133" s="684">
        <f t="shared" si="21"/>
        <v>0</v>
      </c>
      <c r="P133" s="911" t="str">
        <f t="shared" si="22"/>
        <v/>
      </c>
      <c r="Q133" s="910">
        <f t="shared" si="23"/>
        <v>0</v>
      </c>
      <c r="R133" s="683">
        <f t="shared" si="24"/>
        <v>0</v>
      </c>
      <c r="S133" s="897" t="str">
        <f t="shared" si="25"/>
        <v/>
      </c>
      <c r="T133" s="709">
        <f t="shared" si="26"/>
        <v>0</v>
      </c>
      <c r="U133" s="893" t="str">
        <f t="shared" si="27"/>
        <v/>
      </c>
      <c r="V133" s="683">
        <f t="shared" si="28"/>
        <v>0.17</v>
      </c>
      <c r="W133" s="683">
        <f t="shared" si="29"/>
        <v>0</v>
      </c>
      <c r="X133" s="683" t="str">
        <f t="shared" si="30"/>
        <v/>
      </c>
      <c r="Y133" s="690"/>
      <c r="Z133" s="695"/>
      <c r="AC133" s="5"/>
      <c r="AD133" s="5"/>
      <c r="AE133" s="5"/>
    </row>
    <row r="134" spans="2:31" s="628" customFormat="1" x14ac:dyDescent="0.25">
      <c r="B134" s="341"/>
      <c r="C134" s="321"/>
      <c r="D134" s="342"/>
      <c r="E134" s="326"/>
      <c r="F134" s="326"/>
      <c r="G134" s="326"/>
      <c r="H134" s="277">
        <f t="shared" si="37"/>
        <v>0</v>
      </c>
      <c r="I134" s="326"/>
      <c r="J134" s="326"/>
      <c r="K134" s="326"/>
      <c r="L134" s="326"/>
      <c r="M134" s="909"/>
      <c r="N134" s="759" t="str">
        <f>IF(I134="","NA",IF(M134="",'Building Data schedule'!$C$14,M134))</f>
        <v>NA</v>
      </c>
      <c r="O134" s="684">
        <f t="shared" si="21"/>
        <v>0</v>
      </c>
      <c r="P134" s="911" t="str">
        <f t="shared" si="22"/>
        <v/>
      </c>
      <c r="Q134" s="910">
        <f t="shared" si="23"/>
        <v>0</v>
      </c>
      <c r="R134" s="683">
        <f t="shared" si="24"/>
        <v>0</v>
      </c>
      <c r="S134" s="897" t="str">
        <f t="shared" si="25"/>
        <v/>
      </c>
      <c r="T134" s="709">
        <f t="shared" si="26"/>
        <v>0</v>
      </c>
      <c r="U134" s="893" t="str">
        <f t="shared" si="27"/>
        <v/>
      </c>
      <c r="V134" s="683">
        <f t="shared" si="28"/>
        <v>0.17</v>
      </c>
      <c r="W134" s="683">
        <f t="shared" si="29"/>
        <v>0</v>
      </c>
      <c r="X134" s="683" t="str">
        <f t="shared" si="30"/>
        <v/>
      </c>
      <c r="Y134" s="690"/>
      <c r="Z134" s="695"/>
      <c r="AC134" s="5"/>
      <c r="AD134" s="5"/>
      <c r="AE134" s="5"/>
    </row>
    <row r="135" spans="2:31" s="628" customFormat="1" x14ac:dyDescent="0.25">
      <c r="B135" s="341"/>
      <c r="C135" s="321"/>
      <c r="D135" s="342"/>
      <c r="E135" s="326"/>
      <c r="F135" s="326"/>
      <c r="G135" s="326"/>
      <c r="H135" s="277">
        <f t="shared" si="37"/>
        <v>0</v>
      </c>
      <c r="I135" s="326"/>
      <c r="J135" s="326"/>
      <c r="K135" s="326"/>
      <c r="L135" s="326"/>
      <c r="M135" s="909"/>
      <c r="N135" s="759" t="str">
        <f>IF(I135="","NA",IF(M135="",'Building Data schedule'!$C$14,M135))</f>
        <v>NA</v>
      </c>
      <c r="O135" s="684">
        <f t="shared" si="21"/>
        <v>0</v>
      </c>
      <c r="P135" s="911" t="str">
        <f t="shared" si="22"/>
        <v/>
      </c>
      <c r="Q135" s="910">
        <f t="shared" si="23"/>
        <v>0</v>
      </c>
      <c r="R135" s="683">
        <f t="shared" si="24"/>
        <v>0</v>
      </c>
      <c r="S135" s="897" t="str">
        <f t="shared" si="25"/>
        <v/>
      </c>
      <c r="T135" s="709">
        <f t="shared" si="26"/>
        <v>0</v>
      </c>
      <c r="U135" s="893" t="str">
        <f t="shared" si="27"/>
        <v/>
      </c>
      <c r="V135" s="683">
        <f t="shared" si="28"/>
        <v>0.17</v>
      </c>
      <c r="W135" s="683">
        <f t="shared" si="29"/>
        <v>0</v>
      </c>
      <c r="X135" s="683" t="str">
        <f t="shared" si="30"/>
        <v/>
      </c>
      <c r="Y135" s="690"/>
      <c r="Z135" s="695"/>
      <c r="AC135" s="5"/>
      <c r="AD135" s="5"/>
      <c r="AE135" s="5"/>
    </row>
    <row r="136" spans="2:31" s="628" customFormat="1" x14ac:dyDescent="0.25">
      <c r="B136" s="341"/>
      <c r="C136" s="321"/>
      <c r="D136" s="342"/>
      <c r="E136" s="326"/>
      <c r="F136" s="326"/>
      <c r="G136" s="326"/>
      <c r="H136" s="277">
        <f>E136*F136*G136</f>
        <v>0</v>
      </c>
      <c r="I136" s="326"/>
      <c r="J136" s="326"/>
      <c r="K136" s="326"/>
      <c r="L136" s="326"/>
      <c r="M136" s="909"/>
      <c r="N136" s="759" t="str">
        <f>IF(I136="","NA",IF(M136="",'Building Data schedule'!$C$14,M136))</f>
        <v>NA</v>
      </c>
      <c r="O136" s="684">
        <f t="shared" ref="O136:O199" si="38">IF(I136=0,0,K136/I136)</f>
        <v>0</v>
      </c>
      <c r="P136" s="911" t="str">
        <f t="shared" ref="P136:P199" si="39">IFERROR(K136*N136*52/1000,"")</f>
        <v/>
      </c>
      <c r="Q136" s="910">
        <f t="shared" ref="Q136:Q199" si="40">IF(K136&lt;4000,O136,$AD$7)</f>
        <v>0</v>
      </c>
      <c r="R136" s="683">
        <f t="shared" ref="R136:R199" si="41">Q136*H136</f>
        <v>0</v>
      </c>
      <c r="S136" s="897" t="str">
        <f t="shared" ref="S136:S199" si="42">IFERROR(R136*N136*52/1000,"")</f>
        <v/>
      </c>
      <c r="T136" s="709">
        <f t="shared" ref="T136:T199" si="43">IF(I136=0,0,L136/I136)</f>
        <v>0</v>
      </c>
      <c r="U136" s="893" t="str">
        <f t="shared" ref="U136:U199" si="44">IFERROR(L136*N136*52/1000,"")</f>
        <v/>
      </c>
      <c r="V136" s="683">
        <f t="shared" ref="V136:V199" si="45">IF(K136&lt;4000,IF(T136&lt;$AE$8,$AE$8,T136),($AE$7+Y136/2340))</f>
        <v>0.17</v>
      </c>
      <c r="W136" s="683">
        <f t="shared" ref="W136:W199" si="46">V136*H136</f>
        <v>0</v>
      </c>
      <c r="X136" s="683" t="str">
        <f t="shared" ref="X136:X199" si="47">IFERROR(W136*N136*52/1000,"")</f>
        <v/>
      </c>
      <c r="Y136" s="690"/>
      <c r="Z136" s="695"/>
      <c r="AC136" s="5"/>
      <c r="AD136" s="5"/>
      <c r="AE136" s="5"/>
    </row>
    <row r="137" spans="2:31" s="628" customFormat="1" x14ac:dyDescent="0.25">
      <c r="B137" s="341"/>
      <c r="C137" s="321"/>
      <c r="D137" s="342"/>
      <c r="E137" s="326"/>
      <c r="F137" s="326"/>
      <c r="G137" s="326"/>
      <c r="H137" s="277">
        <f t="shared" ref="H137:H144" si="48">E137*F137*G137</f>
        <v>0</v>
      </c>
      <c r="I137" s="326"/>
      <c r="J137" s="326"/>
      <c r="K137" s="326"/>
      <c r="L137" s="326"/>
      <c r="M137" s="909"/>
      <c r="N137" s="759" t="str">
        <f>IF(I137="","NA",IF(M137="",'Building Data schedule'!$C$14,M137))</f>
        <v>NA</v>
      </c>
      <c r="O137" s="684">
        <f t="shared" si="38"/>
        <v>0</v>
      </c>
      <c r="P137" s="911" t="str">
        <f t="shared" si="39"/>
        <v/>
      </c>
      <c r="Q137" s="910">
        <f t="shared" si="40"/>
        <v>0</v>
      </c>
      <c r="R137" s="683">
        <f t="shared" si="41"/>
        <v>0</v>
      </c>
      <c r="S137" s="897" t="str">
        <f t="shared" si="42"/>
        <v/>
      </c>
      <c r="T137" s="709">
        <f t="shared" si="43"/>
        <v>0</v>
      </c>
      <c r="U137" s="893" t="str">
        <f t="shared" si="44"/>
        <v/>
      </c>
      <c r="V137" s="683">
        <f t="shared" si="45"/>
        <v>0.17</v>
      </c>
      <c r="W137" s="683">
        <f t="shared" si="46"/>
        <v>0</v>
      </c>
      <c r="X137" s="683" t="str">
        <f t="shared" si="47"/>
        <v/>
      </c>
      <c r="Y137" s="690"/>
      <c r="Z137" s="695"/>
      <c r="AC137" s="8"/>
      <c r="AD137" s="5"/>
      <c r="AE137" s="5"/>
    </row>
    <row r="138" spans="2:31" s="628" customFormat="1" x14ac:dyDescent="0.25">
      <c r="B138" s="341"/>
      <c r="C138" s="321"/>
      <c r="D138" s="342"/>
      <c r="E138" s="326"/>
      <c r="F138" s="326"/>
      <c r="G138" s="326"/>
      <c r="H138" s="277">
        <f t="shared" si="48"/>
        <v>0</v>
      </c>
      <c r="I138" s="326"/>
      <c r="J138" s="326"/>
      <c r="K138" s="326"/>
      <c r="L138" s="326"/>
      <c r="M138" s="909"/>
      <c r="N138" s="759" t="str">
        <f>IF(I138="","NA",IF(M138="",'Building Data schedule'!$C$14,M138))</f>
        <v>NA</v>
      </c>
      <c r="O138" s="684">
        <f t="shared" si="38"/>
        <v>0</v>
      </c>
      <c r="P138" s="911" t="str">
        <f t="shared" si="39"/>
        <v/>
      </c>
      <c r="Q138" s="910">
        <f t="shared" si="40"/>
        <v>0</v>
      </c>
      <c r="R138" s="683">
        <f t="shared" si="41"/>
        <v>0</v>
      </c>
      <c r="S138" s="897" t="str">
        <f t="shared" si="42"/>
        <v/>
      </c>
      <c r="T138" s="709">
        <f t="shared" si="43"/>
        <v>0</v>
      </c>
      <c r="U138" s="893" t="str">
        <f t="shared" si="44"/>
        <v/>
      </c>
      <c r="V138" s="683">
        <f t="shared" si="45"/>
        <v>0.17</v>
      </c>
      <c r="W138" s="683">
        <f t="shared" si="46"/>
        <v>0</v>
      </c>
      <c r="X138" s="683" t="str">
        <f t="shared" si="47"/>
        <v/>
      </c>
      <c r="Y138" s="690"/>
      <c r="Z138" s="695"/>
      <c r="AC138" s="8"/>
      <c r="AD138" s="5"/>
      <c r="AE138" s="5"/>
    </row>
    <row r="139" spans="2:31" s="628" customFormat="1" x14ac:dyDescent="0.25">
      <c r="B139" s="341"/>
      <c r="C139" s="321"/>
      <c r="D139" s="342"/>
      <c r="E139" s="326"/>
      <c r="F139" s="326"/>
      <c r="G139" s="326"/>
      <c r="H139" s="277">
        <f t="shared" si="48"/>
        <v>0</v>
      </c>
      <c r="I139" s="326"/>
      <c r="J139" s="326"/>
      <c r="K139" s="326"/>
      <c r="L139" s="326"/>
      <c r="M139" s="909"/>
      <c r="N139" s="759" t="str">
        <f>IF(I139="","NA",IF(M139="",'Building Data schedule'!$C$14,M139))</f>
        <v>NA</v>
      </c>
      <c r="O139" s="684">
        <f t="shared" si="38"/>
        <v>0</v>
      </c>
      <c r="P139" s="911" t="str">
        <f t="shared" si="39"/>
        <v/>
      </c>
      <c r="Q139" s="910">
        <f t="shared" si="40"/>
        <v>0</v>
      </c>
      <c r="R139" s="683">
        <f t="shared" si="41"/>
        <v>0</v>
      </c>
      <c r="S139" s="897" t="str">
        <f t="shared" si="42"/>
        <v/>
      </c>
      <c r="T139" s="709">
        <f t="shared" si="43"/>
        <v>0</v>
      </c>
      <c r="U139" s="893" t="str">
        <f t="shared" si="44"/>
        <v/>
      </c>
      <c r="V139" s="683">
        <f t="shared" si="45"/>
        <v>0.17</v>
      </c>
      <c r="W139" s="683">
        <f t="shared" si="46"/>
        <v>0</v>
      </c>
      <c r="X139" s="683" t="str">
        <f t="shared" si="47"/>
        <v/>
      </c>
      <c r="Y139" s="690"/>
      <c r="Z139" s="695"/>
      <c r="AC139" s="8"/>
      <c r="AD139" s="5"/>
      <c r="AE139" s="5"/>
    </row>
    <row r="140" spans="2:31" s="628" customFormat="1" x14ac:dyDescent="0.25">
      <c r="B140" s="341"/>
      <c r="C140" s="321"/>
      <c r="D140" s="342"/>
      <c r="E140" s="326"/>
      <c r="F140" s="326"/>
      <c r="G140" s="326"/>
      <c r="H140" s="277">
        <f t="shared" si="48"/>
        <v>0</v>
      </c>
      <c r="I140" s="326"/>
      <c r="J140" s="326"/>
      <c r="K140" s="326"/>
      <c r="L140" s="326"/>
      <c r="M140" s="909"/>
      <c r="N140" s="759" t="str">
        <f>IF(I140="","NA",IF(M140="",'Building Data schedule'!$C$14,M140))</f>
        <v>NA</v>
      </c>
      <c r="O140" s="684">
        <f t="shared" si="38"/>
        <v>0</v>
      </c>
      <c r="P140" s="911" t="str">
        <f t="shared" si="39"/>
        <v/>
      </c>
      <c r="Q140" s="910">
        <f t="shared" si="40"/>
        <v>0</v>
      </c>
      <c r="R140" s="683">
        <f t="shared" si="41"/>
        <v>0</v>
      </c>
      <c r="S140" s="897" t="str">
        <f t="shared" si="42"/>
        <v/>
      </c>
      <c r="T140" s="709">
        <f t="shared" si="43"/>
        <v>0</v>
      </c>
      <c r="U140" s="893" t="str">
        <f t="shared" si="44"/>
        <v/>
      </c>
      <c r="V140" s="683">
        <f t="shared" si="45"/>
        <v>0.17</v>
      </c>
      <c r="W140" s="683">
        <f t="shared" si="46"/>
        <v>0</v>
      </c>
      <c r="X140" s="683" t="str">
        <f t="shared" si="47"/>
        <v/>
      </c>
      <c r="Y140" s="690"/>
      <c r="Z140" s="695"/>
      <c r="AC140" s="5"/>
      <c r="AD140" s="5"/>
      <c r="AE140" s="5"/>
    </row>
    <row r="141" spans="2:31" s="628" customFormat="1" x14ac:dyDescent="0.25">
      <c r="B141" s="341"/>
      <c r="C141" s="321"/>
      <c r="D141" s="342"/>
      <c r="E141" s="326"/>
      <c r="F141" s="326"/>
      <c r="G141" s="326"/>
      <c r="H141" s="277">
        <f t="shared" si="48"/>
        <v>0</v>
      </c>
      <c r="I141" s="326"/>
      <c r="J141" s="326"/>
      <c r="K141" s="326"/>
      <c r="L141" s="326"/>
      <c r="M141" s="909"/>
      <c r="N141" s="759" t="str">
        <f>IF(I141="","NA",IF(M141="",'Building Data schedule'!$C$14,M141))</f>
        <v>NA</v>
      </c>
      <c r="O141" s="684">
        <f t="shared" si="38"/>
        <v>0</v>
      </c>
      <c r="P141" s="911" t="str">
        <f t="shared" si="39"/>
        <v/>
      </c>
      <c r="Q141" s="910">
        <f t="shared" si="40"/>
        <v>0</v>
      </c>
      <c r="R141" s="683">
        <f t="shared" si="41"/>
        <v>0</v>
      </c>
      <c r="S141" s="897" t="str">
        <f t="shared" si="42"/>
        <v/>
      </c>
      <c r="T141" s="709">
        <f t="shared" si="43"/>
        <v>0</v>
      </c>
      <c r="U141" s="893" t="str">
        <f t="shared" si="44"/>
        <v/>
      </c>
      <c r="V141" s="683">
        <f t="shared" si="45"/>
        <v>0.17</v>
      </c>
      <c r="W141" s="683">
        <f t="shared" si="46"/>
        <v>0</v>
      </c>
      <c r="X141" s="683" t="str">
        <f t="shared" si="47"/>
        <v/>
      </c>
      <c r="Y141" s="690"/>
      <c r="Z141" s="695"/>
      <c r="AC141" s="5"/>
      <c r="AD141" s="5"/>
      <c r="AE141" s="5"/>
    </row>
    <row r="142" spans="2:31" s="628" customFormat="1" x14ac:dyDescent="0.25">
      <c r="B142" s="341"/>
      <c r="C142" s="321"/>
      <c r="D142" s="342"/>
      <c r="E142" s="326"/>
      <c r="F142" s="326"/>
      <c r="G142" s="326"/>
      <c r="H142" s="277">
        <f t="shared" si="48"/>
        <v>0</v>
      </c>
      <c r="I142" s="326"/>
      <c r="J142" s="326"/>
      <c r="K142" s="326"/>
      <c r="L142" s="326"/>
      <c r="M142" s="909"/>
      <c r="N142" s="759" t="str">
        <f>IF(I142="","NA",IF(M142="",'Building Data schedule'!$C$14,M142))</f>
        <v>NA</v>
      </c>
      <c r="O142" s="684">
        <f t="shared" si="38"/>
        <v>0</v>
      </c>
      <c r="P142" s="911" t="str">
        <f t="shared" si="39"/>
        <v/>
      </c>
      <c r="Q142" s="910">
        <f t="shared" si="40"/>
        <v>0</v>
      </c>
      <c r="R142" s="683">
        <f t="shared" si="41"/>
        <v>0</v>
      </c>
      <c r="S142" s="897" t="str">
        <f t="shared" si="42"/>
        <v/>
      </c>
      <c r="T142" s="709">
        <f t="shared" si="43"/>
        <v>0</v>
      </c>
      <c r="U142" s="893" t="str">
        <f t="shared" si="44"/>
        <v/>
      </c>
      <c r="V142" s="683">
        <f t="shared" si="45"/>
        <v>0.17</v>
      </c>
      <c r="W142" s="683">
        <f t="shared" si="46"/>
        <v>0</v>
      </c>
      <c r="X142" s="683" t="str">
        <f t="shared" si="47"/>
        <v/>
      </c>
      <c r="Y142" s="690"/>
      <c r="Z142" s="695"/>
      <c r="AC142" s="5"/>
      <c r="AD142" s="5"/>
      <c r="AE142" s="5"/>
    </row>
    <row r="143" spans="2:31" s="628" customFormat="1" x14ac:dyDescent="0.25">
      <c r="B143" s="341"/>
      <c r="C143" s="321"/>
      <c r="D143" s="342"/>
      <c r="E143" s="326"/>
      <c r="F143" s="326"/>
      <c r="G143" s="326"/>
      <c r="H143" s="277">
        <f t="shared" si="48"/>
        <v>0</v>
      </c>
      <c r="I143" s="326"/>
      <c r="J143" s="326"/>
      <c r="K143" s="326"/>
      <c r="L143" s="326"/>
      <c r="M143" s="909"/>
      <c r="N143" s="759" t="str">
        <f>IF(I143="","NA",IF(M143="",'Building Data schedule'!$C$14,M143))</f>
        <v>NA</v>
      </c>
      <c r="O143" s="684">
        <f t="shared" si="38"/>
        <v>0</v>
      </c>
      <c r="P143" s="911" t="str">
        <f t="shared" si="39"/>
        <v/>
      </c>
      <c r="Q143" s="910">
        <f t="shared" si="40"/>
        <v>0</v>
      </c>
      <c r="R143" s="683">
        <f t="shared" si="41"/>
        <v>0</v>
      </c>
      <c r="S143" s="897" t="str">
        <f t="shared" si="42"/>
        <v/>
      </c>
      <c r="T143" s="709">
        <f t="shared" si="43"/>
        <v>0</v>
      </c>
      <c r="U143" s="893" t="str">
        <f t="shared" si="44"/>
        <v/>
      </c>
      <c r="V143" s="683">
        <f t="shared" si="45"/>
        <v>0.17</v>
      </c>
      <c r="W143" s="683">
        <f t="shared" si="46"/>
        <v>0</v>
      </c>
      <c r="X143" s="683" t="str">
        <f t="shared" si="47"/>
        <v/>
      </c>
      <c r="Y143" s="690"/>
      <c r="Z143" s="695"/>
      <c r="AC143" s="5"/>
      <c r="AD143" s="5"/>
      <c r="AE143" s="5"/>
    </row>
    <row r="144" spans="2:31" s="628" customFormat="1" x14ac:dyDescent="0.25">
      <c r="B144" s="341"/>
      <c r="C144" s="321"/>
      <c r="D144" s="342"/>
      <c r="E144" s="326"/>
      <c r="F144" s="326"/>
      <c r="G144" s="326"/>
      <c r="H144" s="277">
        <f t="shared" si="48"/>
        <v>0</v>
      </c>
      <c r="I144" s="326"/>
      <c r="J144" s="326"/>
      <c r="K144" s="326"/>
      <c r="L144" s="326"/>
      <c r="M144" s="909"/>
      <c r="N144" s="759" t="str">
        <f>IF(I144="","NA",IF(M144="",'Building Data schedule'!$C$14,M144))</f>
        <v>NA</v>
      </c>
      <c r="O144" s="684">
        <f t="shared" si="38"/>
        <v>0</v>
      </c>
      <c r="P144" s="911" t="str">
        <f t="shared" si="39"/>
        <v/>
      </c>
      <c r="Q144" s="910">
        <f t="shared" si="40"/>
        <v>0</v>
      </c>
      <c r="R144" s="683">
        <f t="shared" si="41"/>
        <v>0</v>
      </c>
      <c r="S144" s="897" t="str">
        <f t="shared" si="42"/>
        <v/>
      </c>
      <c r="T144" s="709">
        <f t="shared" si="43"/>
        <v>0</v>
      </c>
      <c r="U144" s="893" t="str">
        <f t="shared" si="44"/>
        <v/>
      </c>
      <c r="V144" s="683">
        <f t="shared" si="45"/>
        <v>0.17</v>
      </c>
      <c r="W144" s="683">
        <f t="shared" si="46"/>
        <v>0</v>
      </c>
      <c r="X144" s="683" t="str">
        <f t="shared" si="47"/>
        <v/>
      </c>
      <c r="Y144" s="690"/>
      <c r="Z144" s="695"/>
      <c r="AC144" s="5"/>
      <c r="AD144" s="5"/>
      <c r="AE144" s="5"/>
    </row>
    <row r="145" spans="2:31" x14ac:dyDescent="0.25">
      <c r="B145" s="341"/>
      <c r="C145" s="321"/>
      <c r="D145" s="342"/>
      <c r="E145" s="326"/>
      <c r="F145" s="326"/>
      <c r="G145" s="326"/>
      <c r="H145" s="277">
        <f t="shared" si="18"/>
        <v>0</v>
      </c>
      <c r="I145" s="326"/>
      <c r="J145" s="326"/>
      <c r="K145" s="326"/>
      <c r="L145" s="326"/>
      <c r="M145" s="909"/>
      <c r="N145" s="759" t="str">
        <f>IF(I145="","NA",IF(M145="",'Building Data schedule'!$C$14,M145))</f>
        <v>NA</v>
      </c>
      <c r="O145" s="684">
        <f t="shared" si="38"/>
        <v>0</v>
      </c>
      <c r="P145" s="911" t="str">
        <f t="shared" si="39"/>
        <v/>
      </c>
      <c r="Q145" s="910">
        <f t="shared" si="40"/>
        <v>0</v>
      </c>
      <c r="R145" s="683">
        <f t="shared" si="41"/>
        <v>0</v>
      </c>
      <c r="S145" s="897" t="str">
        <f t="shared" si="42"/>
        <v/>
      </c>
      <c r="T145" s="709">
        <f t="shared" si="43"/>
        <v>0</v>
      </c>
      <c r="U145" s="893" t="str">
        <f t="shared" si="44"/>
        <v/>
      </c>
      <c r="V145" s="683">
        <f t="shared" si="45"/>
        <v>0.17</v>
      </c>
      <c r="W145" s="683">
        <f t="shared" si="46"/>
        <v>0</v>
      </c>
      <c r="X145" s="683" t="str">
        <f t="shared" si="47"/>
        <v/>
      </c>
      <c r="Y145" s="690"/>
      <c r="Z145" s="695"/>
      <c r="AC145" s="5"/>
      <c r="AD145" s="5"/>
      <c r="AE145" s="5"/>
    </row>
    <row r="146" spans="2:31" x14ac:dyDescent="0.25">
      <c r="B146" s="341"/>
      <c r="C146" s="321"/>
      <c r="D146" s="342"/>
      <c r="E146" s="326"/>
      <c r="F146" s="326"/>
      <c r="G146" s="326"/>
      <c r="H146" s="277">
        <f t="shared" si="18"/>
        <v>0</v>
      </c>
      <c r="I146" s="326"/>
      <c r="J146" s="326"/>
      <c r="K146" s="326"/>
      <c r="L146" s="326"/>
      <c r="M146" s="909"/>
      <c r="N146" s="759" t="str">
        <f>IF(I146="","NA",IF(M146="",'Building Data schedule'!$C$14,M146))</f>
        <v>NA</v>
      </c>
      <c r="O146" s="684">
        <f t="shared" si="38"/>
        <v>0</v>
      </c>
      <c r="P146" s="911" t="str">
        <f t="shared" si="39"/>
        <v/>
      </c>
      <c r="Q146" s="910">
        <f t="shared" si="40"/>
        <v>0</v>
      </c>
      <c r="R146" s="683">
        <f t="shared" si="41"/>
        <v>0</v>
      </c>
      <c r="S146" s="897" t="str">
        <f t="shared" si="42"/>
        <v/>
      </c>
      <c r="T146" s="709">
        <f t="shared" si="43"/>
        <v>0</v>
      </c>
      <c r="U146" s="893" t="str">
        <f t="shared" si="44"/>
        <v/>
      </c>
      <c r="V146" s="683">
        <f t="shared" si="45"/>
        <v>0.17</v>
      </c>
      <c r="W146" s="683">
        <f t="shared" si="46"/>
        <v>0</v>
      </c>
      <c r="X146" s="683" t="str">
        <f t="shared" si="47"/>
        <v/>
      </c>
      <c r="Y146" s="690"/>
      <c r="Z146" s="695"/>
      <c r="AC146" s="5"/>
      <c r="AD146" s="5"/>
      <c r="AE146" s="5"/>
    </row>
    <row r="147" spans="2:31" x14ac:dyDescent="0.25">
      <c r="B147" s="341"/>
      <c r="C147" s="321"/>
      <c r="D147" s="342"/>
      <c r="E147" s="326"/>
      <c r="F147" s="326"/>
      <c r="G147" s="326"/>
      <c r="H147" s="277">
        <f>E147*F147*G147</f>
        <v>0</v>
      </c>
      <c r="I147" s="326"/>
      <c r="J147" s="326"/>
      <c r="K147" s="326"/>
      <c r="L147" s="326"/>
      <c r="M147" s="909"/>
      <c r="N147" s="759" t="str">
        <f>IF(I147="","NA",IF(M147="",'Building Data schedule'!$C$14,M147))</f>
        <v>NA</v>
      </c>
      <c r="O147" s="684">
        <f t="shared" si="38"/>
        <v>0</v>
      </c>
      <c r="P147" s="911" t="str">
        <f t="shared" si="39"/>
        <v/>
      </c>
      <c r="Q147" s="910">
        <f t="shared" si="40"/>
        <v>0</v>
      </c>
      <c r="R147" s="683">
        <f t="shared" si="41"/>
        <v>0</v>
      </c>
      <c r="S147" s="897" t="str">
        <f t="shared" si="42"/>
        <v/>
      </c>
      <c r="T147" s="709">
        <f t="shared" si="43"/>
        <v>0</v>
      </c>
      <c r="U147" s="893" t="str">
        <f t="shared" si="44"/>
        <v/>
      </c>
      <c r="V147" s="683">
        <f t="shared" si="45"/>
        <v>0.17</v>
      </c>
      <c r="W147" s="683">
        <f t="shared" si="46"/>
        <v>0</v>
      </c>
      <c r="X147" s="683" t="str">
        <f t="shared" si="47"/>
        <v/>
      </c>
      <c r="Y147" s="690"/>
      <c r="Z147" s="695"/>
      <c r="AC147" s="5"/>
      <c r="AD147" s="5"/>
      <c r="AE147" s="5"/>
    </row>
    <row r="148" spans="2:31" x14ac:dyDescent="0.25">
      <c r="B148" s="341"/>
      <c r="C148" s="321"/>
      <c r="D148" s="342"/>
      <c r="E148" s="326"/>
      <c r="F148" s="326"/>
      <c r="G148" s="326"/>
      <c r="H148" s="277">
        <f>E148*F148*G148</f>
        <v>0</v>
      </c>
      <c r="I148" s="326"/>
      <c r="J148" s="326"/>
      <c r="K148" s="326"/>
      <c r="L148" s="326"/>
      <c r="M148" s="909"/>
      <c r="N148" s="759" t="str">
        <f>IF(I148="","NA",IF(M148="",'Building Data schedule'!$C$14,M148))</f>
        <v>NA</v>
      </c>
      <c r="O148" s="684">
        <f t="shared" si="38"/>
        <v>0</v>
      </c>
      <c r="P148" s="911" t="str">
        <f t="shared" si="39"/>
        <v/>
      </c>
      <c r="Q148" s="910">
        <f t="shared" si="40"/>
        <v>0</v>
      </c>
      <c r="R148" s="683">
        <f t="shared" si="41"/>
        <v>0</v>
      </c>
      <c r="S148" s="897" t="str">
        <f t="shared" si="42"/>
        <v/>
      </c>
      <c r="T148" s="709">
        <f t="shared" si="43"/>
        <v>0</v>
      </c>
      <c r="U148" s="893" t="str">
        <f t="shared" si="44"/>
        <v/>
      </c>
      <c r="V148" s="683">
        <f t="shared" si="45"/>
        <v>0.17</v>
      </c>
      <c r="W148" s="683">
        <f t="shared" si="46"/>
        <v>0</v>
      </c>
      <c r="X148" s="683" t="str">
        <f t="shared" si="47"/>
        <v/>
      </c>
      <c r="Y148" s="690"/>
      <c r="Z148" s="695"/>
      <c r="AC148" s="8"/>
      <c r="AD148" s="5"/>
      <c r="AE148" s="5"/>
    </row>
    <row r="149" spans="2:31" x14ac:dyDescent="0.25">
      <c r="B149" s="341"/>
      <c r="C149" s="321"/>
      <c r="D149" s="342"/>
      <c r="E149" s="326"/>
      <c r="F149" s="326"/>
      <c r="G149" s="326"/>
      <c r="H149" s="277">
        <f t="shared" ref="H149:H151" si="49">E149*F149*G149</f>
        <v>0</v>
      </c>
      <c r="I149" s="326"/>
      <c r="J149" s="326"/>
      <c r="K149" s="326"/>
      <c r="L149" s="326"/>
      <c r="M149" s="909"/>
      <c r="N149" s="759" t="str">
        <f>IF(I149="","NA",IF(M149="",'Building Data schedule'!$C$14,M149))</f>
        <v>NA</v>
      </c>
      <c r="O149" s="684">
        <f t="shared" si="38"/>
        <v>0</v>
      </c>
      <c r="P149" s="911" t="str">
        <f t="shared" si="39"/>
        <v/>
      </c>
      <c r="Q149" s="910">
        <f t="shared" si="40"/>
        <v>0</v>
      </c>
      <c r="R149" s="683">
        <f t="shared" si="41"/>
        <v>0</v>
      </c>
      <c r="S149" s="897" t="str">
        <f t="shared" si="42"/>
        <v/>
      </c>
      <c r="T149" s="709">
        <f t="shared" si="43"/>
        <v>0</v>
      </c>
      <c r="U149" s="893" t="str">
        <f t="shared" si="44"/>
        <v/>
      </c>
      <c r="V149" s="683">
        <f t="shared" si="45"/>
        <v>0.17</v>
      </c>
      <c r="W149" s="683">
        <f t="shared" si="46"/>
        <v>0</v>
      </c>
      <c r="X149" s="683" t="str">
        <f t="shared" si="47"/>
        <v/>
      </c>
      <c r="Y149" s="690"/>
      <c r="Z149" s="695"/>
      <c r="AC149" s="8"/>
      <c r="AD149" s="5"/>
      <c r="AE149" s="5"/>
    </row>
    <row r="150" spans="2:31" x14ac:dyDescent="0.25">
      <c r="B150" s="341"/>
      <c r="C150" s="321"/>
      <c r="D150" s="342"/>
      <c r="E150" s="326"/>
      <c r="F150" s="326"/>
      <c r="G150" s="326"/>
      <c r="H150" s="277">
        <f t="shared" si="49"/>
        <v>0</v>
      </c>
      <c r="I150" s="326"/>
      <c r="J150" s="326"/>
      <c r="K150" s="326"/>
      <c r="L150" s="326"/>
      <c r="M150" s="909"/>
      <c r="N150" s="759" t="str">
        <f>IF(I150="","NA",IF(M150="",'Building Data schedule'!$C$14,M150))</f>
        <v>NA</v>
      </c>
      <c r="O150" s="684">
        <f t="shared" si="38"/>
        <v>0</v>
      </c>
      <c r="P150" s="911" t="str">
        <f t="shared" si="39"/>
        <v/>
      </c>
      <c r="Q150" s="910">
        <f t="shared" si="40"/>
        <v>0</v>
      </c>
      <c r="R150" s="683">
        <f t="shared" si="41"/>
        <v>0</v>
      </c>
      <c r="S150" s="897" t="str">
        <f t="shared" si="42"/>
        <v/>
      </c>
      <c r="T150" s="709">
        <f t="shared" si="43"/>
        <v>0</v>
      </c>
      <c r="U150" s="893" t="str">
        <f t="shared" si="44"/>
        <v/>
      </c>
      <c r="V150" s="683">
        <f t="shared" si="45"/>
        <v>0.17</v>
      </c>
      <c r="W150" s="683">
        <f t="shared" si="46"/>
        <v>0</v>
      </c>
      <c r="X150" s="683" t="str">
        <f t="shared" si="47"/>
        <v/>
      </c>
      <c r="Y150" s="690"/>
      <c r="Z150" s="695"/>
      <c r="AC150" s="8"/>
      <c r="AD150" s="5"/>
      <c r="AE150" s="5"/>
    </row>
    <row r="151" spans="2:31" x14ac:dyDescent="0.25">
      <c r="B151" s="341"/>
      <c r="C151" s="321"/>
      <c r="D151" s="342"/>
      <c r="E151" s="326"/>
      <c r="F151" s="326"/>
      <c r="G151" s="326"/>
      <c r="H151" s="277">
        <f t="shared" si="49"/>
        <v>0</v>
      </c>
      <c r="I151" s="326"/>
      <c r="J151" s="326"/>
      <c r="K151" s="326"/>
      <c r="L151" s="326"/>
      <c r="M151" s="909"/>
      <c r="N151" s="759" t="str">
        <f>IF(I151="","NA",IF(M151="",'Building Data schedule'!$C$14,M151))</f>
        <v>NA</v>
      </c>
      <c r="O151" s="684">
        <f t="shared" si="38"/>
        <v>0</v>
      </c>
      <c r="P151" s="911" t="str">
        <f t="shared" si="39"/>
        <v/>
      </c>
      <c r="Q151" s="910">
        <f t="shared" si="40"/>
        <v>0</v>
      </c>
      <c r="R151" s="683">
        <f t="shared" si="41"/>
        <v>0</v>
      </c>
      <c r="S151" s="897" t="str">
        <f t="shared" si="42"/>
        <v/>
      </c>
      <c r="T151" s="709">
        <f t="shared" si="43"/>
        <v>0</v>
      </c>
      <c r="U151" s="893" t="str">
        <f t="shared" si="44"/>
        <v/>
      </c>
      <c r="V151" s="683">
        <f t="shared" si="45"/>
        <v>0.17</v>
      </c>
      <c r="W151" s="683">
        <f t="shared" si="46"/>
        <v>0</v>
      </c>
      <c r="X151" s="683" t="str">
        <f t="shared" si="47"/>
        <v/>
      </c>
      <c r="Y151" s="690"/>
      <c r="Z151" s="695"/>
      <c r="AC151" s="8"/>
      <c r="AD151" s="5"/>
      <c r="AE151" s="5"/>
    </row>
    <row r="152" spans="2:31" x14ac:dyDescent="0.25">
      <c r="B152" s="341"/>
      <c r="C152" s="321"/>
      <c r="D152" s="342"/>
      <c r="E152" s="326"/>
      <c r="F152" s="326"/>
      <c r="G152" s="326"/>
      <c r="H152" s="277">
        <f t="shared" ref="H152:H156" si="50">E152*F152*G152</f>
        <v>0</v>
      </c>
      <c r="I152" s="326"/>
      <c r="J152" s="326"/>
      <c r="K152" s="326"/>
      <c r="L152" s="326"/>
      <c r="M152" s="909"/>
      <c r="N152" s="759" t="str">
        <f>IF(I152="","NA",IF(M152="",'Building Data schedule'!$C$14,M152))</f>
        <v>NA</v>
      </c>
      <c r="O152" s="684">
        <f t="shared" si="38"/>
        <v>0</v>
      </c>
      <c r="P152" s="911" t="str">
        <f t="shared" si="39"/>
        <v/>
      </c>
      <c r="Q152" s="910">
        <f t="shared" si="40"/>
        <v>0</v>
      </c>
      <c r="R152" s="683">
        <f t="shared" si="41"/>
        <v>0</v>
      </c>
      <c r="S152" s="897" t="str">
        <f t="shared" si="42"/>
        <v/>
      </c>
      <c r="T152" s="709">
        <f t="shared" si="43"/>
        <v>0</v>
      </c>
      <c r="U152" s="893" t="str">
        <f t="shared" si="44"/>
        <v/>
      </c>
      <c r="V152" s="683">
        <f t="shared" si="45"/>
        <v>0.17</v>
      </c>
      <c r="W152" s="683">
        <f t="shared" si="46"/>
        <v>0</v>
      </c>
      <c r="X152" s="683" t="str">
        <f t="shared" si="47"/>
        <v/>
      </c>
      <c r="Y152" s="690"/>
      <c r="Z152" s="695"/>
      <c r="AC152" s="5"/>
      <c r="AD152" s="5"/>
      <c r="AE152" s="5"/>
    </row>
    <row r="153" spans="2:31" x14ac:dyDescent="0.25">
      <c r="B153" s="341"/>
      <c r="C153" s="321"/>
      <c r="D153" s="342"/>
      <c r="E153" s="326"/>
      <c r="F153" s="326"/>
      <c r="G153" s="326"/>
      <c r="H153" s="277">
        <f t="shared" si="50"/>
        <v>0</v>
      </c>
      <c r="I153" s="326"/>
      <c r="J153" s="326"/>
      <c r="K153" s="326"/>
      <c r="L153" s="326"/>
      <c r="M153" s="909"/>
      <c r="N153" s="759" t="str">
        <f>IF(I153="","NA",IF(M153="",'Building Data schedule'!$C$14,M153))</f>
        <v>NA</v>
      </c>
      <c r="O153" s="684">
        <f t="shared" si="38"/>
        <v>0</v>
      </c>
      <c r="P153" s="911" t="str">
        <f t="shared" si="39"/>
        <v/>
      </c>
      <c r="Q153" s="910">
        <f t="shared" si="40"/>
        <v>0</v>
      </c>
      <c r="R153" s="683">
        <f t="shared" si="41"/>
        <v>0</v>
      </c>
      <c r="S153" s="897" t="str">
        <f t="shared" si="42"/>
        <v/>
      </c>
      <c r="T153" s="709">
        <f t="shared" si="43"/>
        <v>0</v>
      </c>
      <c r="U153" s="893" t="str">
        <f t="shared" si="44"/>
        <v/>
      </c>
      <c r="V153" s="683">
        <f t="shared" si="45"/>
        <v>0.17</v>
      </c>
      <c r="W153" s="683">
        <f t="shared" si="46"/>
        <v>0</v>
      </c>
      <c r="X153" s="683" t="str">
        <f t="shared" si="47"/>
        <v/>
      </c>
      <c r="Y153" s="690"/>
      <c r="Z153" s="695"/>
      <c r="AC153" s="5"/>
      <c r="AD153" s="5"/>
      <c r="AE153" s="5"/>
    </row>
    <row r="154" spans="2:31" x14ac:dyDescent="0.25">
      <c r="B154" s="341"/>
      <c r="C154" s="321"/>
      <c r="D154" s="342"/>
      <c r="E154" s="326"/>
      <c r="F154" s="326"/>
      <c r="G154" s="326"/>
      <c r="H154" s="277">
        <f t="shared" si="50"/>
        <v>0</v>
      </c>
      <c r="I154" s="326"/>
      <c r="J154" s="326"/>
      <c r="K154" s="326"/>
      <c r="L154" s="326"/>
      <c r="M154" s="909"/>
      <c r="N154" s="759" t="str">
        <f>IF(I154="","NA",IF(M154="",'Building Data schedule'!$C$14,M154))</f>
        <v>NA</v>
      </c>
      <c r="O154" s="684">
        <f t="shared" si="38"/>
        <v>0</v>
      </c>
      <c r="P154" s="911" t="str">
        <f t="shared" si="39"/>
        <v/>
      </c>
      <c r="Q154" s="910">
        <f t="shared" si="40"/>
        <v>0</v>
      </c>
      <c r="R154" s="683">
        <f t="shared" si="41"/>
        <v>0</v>
      </c>
      <c r="S154" s="897" t="str">
        <f t="shared" si="42"/>
        <v/>
      </c>
      <c r="T154" s="709">
        <f t="shared" si="43"/>
        <v>0</v>
      </c>
      <c r="U154" s="893" t="str">
        <f t="shared" si="44"/>
        <v/>
      </c>
      <c r="V154" s="683">
        <f t="shared" si="45"/>
        <v>0.17</v>
      </c>
      <c r="W154" s="683">
        <f t="shared" si="46"/>
        <v>0</v>
      </c>
      <c r="X154" s="683" t="str">
        <f t="shared" si="47"/>
        <v/>
      </c>
      <c r="Y154" s="690"/>
      <c r="Z154" s="695"/>
      <c r="AC154" s="5"/>
      <c r="AD154" s="5"/>
      <c r="AE154" s="5"/>
    </row>
    <row r="155" spans="2:31" x14ac:dyDescent="0.25">
      <c r="B155" s="341"/>
      <c r="C155" s="321"/>
      <c r="D155" s="342"/>
      <c r="E155" s="326"/>
      <c r="F155" s="326"/>
      <c r="G155" s="326"/>
      <c r="H155" s="277">
        <f t="shared" si="50"/>
        <v>0</v>
      </c>
      <c r="I155" s="326"/>
      <c r="J155" s="326"/>
      <c r="K155" s="326"/>
      <c r="L155" s="326"/>
      <c r="M155" s="909"/>
      <c r="N155" s="759" t="str">
        <f>IF(I155="","NA",IF(M155="",'Building Data schedule'!$C$14,M155))</f>
        <v>NA</v>
      </c>
      <c r="O155" s="684">
        <f t="shared" si="38"/>
        <v>0</v>
      </c>
      <c r="P155" s="911" t="str">
        <f t="shared" si="39"/>
        <v/>
      </c>
      <c r="Q155" s="910">
        <f t="shared" si="40"/>
        <v>0</v>
      </c>
      <c r="R155" s="683">
        <f t="shared" si="41"/>
        <v>0</v>
      </c>
      <c r="S155" s="897" t="str">
        <f t="shared" si="42"/>
        <v/>
      </c>
      <c r="T155" s="709">
        <f t="shared" si="43"/>
        <v>0</v>
      </c>
      <c r="U155" s="893" t="str">
        <f t="shared" si="44"/>
        <v/>
      </c>
      <c r="V155" s="683">
        <f t="shared" si="45"/>
        <v>0.17</v>
      </c>
      <c r="W155" s="683">
        <f t="shared" si="46"/>
        <v>0</v>
      </c>
      <c r="X155" s="683" t="str">
        <f t="shared" si="47"/>
        <v/>
      </c>
      <c r="Y155" s="690"/>
      <c r="Z155" s="695"/>
      <c r="AC155" s="5"/>
      <c r="AD155" s="5"/>
      <c r="AE155" s="5"/>
    </row>
    <row r="156" spans="2:31" x14ac:dyDescent="0.25">
      <c r="B156" s="341"/>
      <c r="C156" s="321"/>
      <c r="D156" s="342"/>
      <c r="E156" s="326"/>
      <c r="F156" s="326"/>
      <c r="G156" s="326"/>
      <c r="H156" s="277">
        <f t="shared" si="50"/>
        <v>0</v>
      </c>
      <c r="I156" s="326"/>
      <c r="J156" s="326"/>
      <c r="K156" s="326"/>
      <c r="L156" s="326"/>
      <c r="M156" s="909"/>
      <c r="N156" s="759" t="str">
        <f>IF(I156="","NA",IF(M156="",'Building Data schedule'!$C$14,M156))</f>
        <v>NA</v>
      </c>
      <c r="O156" s="684">
        <f t="shared" si="38"/>
        <v>0</v>
      </c>
      <c r="P156" s="911" t="str">
        <f t="shared" si="39"/>
        <v/>
      </c>
      <c r="Q156" s="910">
        <f t="shared" si="40"/>
        <v>0</v>
      </c>
      <c r="R156" s="683">
        <f t="shared" si="41"/>
        <v>0</v>
      </c>
      <c r="S156" s="897" t="str">
        <f t="shared" si="42"/>
        <v/>
      </c>
      <c r="T156" s="709">
        <f t="shared" si="43"/>
        <v>0</v>
      </c>
      <c r="U156" s="893" t="str">
        <f t="shared" si="44"/>
        <v/>
      </c>
      <c r="V156" s="683">
        <f t="shared" si="45"/>
        <v>0.17</v>
      </c>
      <c r="W156" s="683">
        <f t="shared" si="46"/>
        <v>0</v>
      </c>
      <c r="X156" s="683" t="str">
        <f t="shared" si="47"/>
        <v/>
      </c>
      <c r="Y156" s="690"/>
      <c r="Z156" s="695"/>
      <c r="AC156" s="5"/>
      <c r="AD156" s="5"/>
      <c r="AE156" s="5"/>
    </row>
    <row r="157" spans="2:31" x14ac:dyDescent="0.25">
      <c r="B157" s="341"/>
      <c r="C157" s="321"/>
      <c r="D157" s="342"/>
      <c r="E157" s="326"/>
      <c r="F157" s="326"/>
      <c r="G157" s="326"/>
      <c r="H157" s="277">
        <f>E157*F157*G157</f>
        <v>0</v>
      </c>
      <c r="I157" s="326"/>
      <c r="J157" s="326"/>
      <c r="K157" s="326"/>
      <c r="L157" s="326"/>
      <c r="M157" s="909"/>
      <c r="N157" s="759" t="str">
        <f>IF(I157="","NA",IF(M157="",'Building Data schedule'!$C$14,M157))</f>
        <v>NA</v>
      </c>
      <c r="O157" s="684">
        <f t="shared" si="38"/>
        <v>0</v>
      </c>
      <c r="P157" s="911" t="str">
        <f t="shared" si="39"/>
        <v/>
      </c>
      <c r="Q157" s="910">
        <f t="shared" si="40"/>
        <v>0</v>
      </c>
      <c r="R157" s="683">
        <f t="shared" si="41"/>
        <v>0</v>
      </c>
      <c r="S157" s="897" t="str">
        <f t="shared" si="42"/>
        <v/>
      </c>
      <c r="T157" s="709">
        <f t="shared" si="43"/>
        <v>0</v>
      </c>
      <c r="U157" s="893" t="str">
        <f t="shared" si="44"/>
        <v/>
      </c>
      <c r="V157" s="683">
        <f t="shared" si="45"/>
        <v>0.17</v>
      </c>
      <c r="W157" s="683">
        <f t="shared" si="46"/>
        <v>0</v>
      </c>
      <c r="X157" s="683" t="str">
        <f t="shared" si="47"/>
        <v/>
      </c>
      <c r="Y157" s="690"/>
      <c r="Z157" s="695"/>
      <c r="AC157" s="5"/>
      <c r="AD157" s="5"/>
      <c r="AE157" s="5"/>
    </row>
    <row r="158" spans="2:31" x14ac:dyDescent="0.25">
      <c r="B158" s="341"/>
      <c r="C158" s="321"/>
      <c r="D158" s="342"/>
      <c r="E158" s="326"/>
      <c r="F158" s="326"/>
      <c r="G158" s="326"/>
      <c r="H158" s="277">
        <f>E158*F158*G158</f>
        <v>0</v>
      </c>
      <c r="I158" s="326"/>
      <c r="J158" s="326"/>
      <c r="K158" s="326"/>
      <c r="L158" s="326"/>
      <c r="M158" s="909"/>
      <c r="N158" s="759" t="str">
        <f>IF(I158="","NA",IF(M158="",'Building Data schedule'!$C$14,M158))</f>
        <v>NA</v>
      </c>
      <c r="O158" s="684">
        <f t="shared" si="38"/>
        <v>0</v>
      </c>
      <c r="P158" s="911" t="str">
        <f t="shared" si="39"/>
        <v/>
      </c>
      <c r="Q158" s="910">
        <f t="shared" si="40"/>
        <v>0</v>
      </c>
      <c r="R158" s="683">
        <f t="shared" si="41"/>
        <v>0</v>
      </c>
      <c r="S158" s="897" t="str">
        <f t="shared" si="42"/>
        <v/>
      </c>
      <c r="T158" s="709">
        <f t="shared" si="43"/>
        <v>0</v>
      </c>
      <c r="U158" s="893" t="str">
        <f t="shared" si="44"/>
        <v/>
      </c>
      <c r="V158" s="683">
        <f t="shared" si="45"/>
        <v>0.17</v>
      </c>
      <c r="W158" s="683">
        <f t="shared" si="46"/>
        <v>0</v>
      </c>
      <c r="X158" s="683" t="str">
        <f t="shared" si="47"/>
        <v/>
      </c>
      <c r="Y158" s="690"/>
      <c r="Z158" s="695"/>
      <c r="AC158" s="8"/>
      <c r="AD158" s="5"/>
      <c r="AE158" s="5"/>
    </row>
    <row r="159" spans="2:31" x14ac:dyDescent="0.25">
      <c r="B159" s="341"/>
      <c r="C159" s="321"/>
      <c r="D159" s="342"/>
      <c r="E159" s="326"/>
      <c r="F159" s="326"/>
      <c r="G159" s="326"/>
      <c r="H159" s="277">
        <f t="shared" ref="H159:H161" si="51">E159*F159*G159</f>
        <v>0</v>
      </c>
      <c r="I159" s="326"/>
      <c r="J159" s="326"/>
      <c r="K159" s="326"/>
      <c r="L159" s="326"/>
      <c r="M159" s="909"/>
      <c r="N159" s="759" t="str">
        <f>IF(I159="","NA",IF(M159="",'Building Data schedule'!$C$14,M159))</f>
        <v>NA</v>
      </c>
      <c r="O159" s="684">
        <f t="shared" si="38"/>
        <v>0</v>
      </c>
      <c r="P159" s="911" t="str">
        <f t="shared" si="39"/>
        <v/>
      </c>
      <c r="Q159" s="910">
        <f t="shared" si="40"/>
        <v>0</v>
      </c>
      <c r="R159" s="683">
        <f t="shared" si="41"/>
        <v>0</v>
      </c>
      <c r="S159" s="897" t="str">
        <f t="shared" si="42"/>
        <v/>
      </c>
      <c r="T159" s="709">
        <f t="shared" si="43"/>
        <v>0</v>
      </c>
      <c r="U159" s="893" t="str">
        <f t="shared" si="44"/>
        <v/>
      </c>
      <c r="V159" s="683">
        <f t="shared" si="45"/>
        <v>0.17</v>
      </c>
      <c r="W159" s="683">
        <f t="shared" si="46"/>
        <v>0</v>
      </c>
      <c r="X159" s="683" t="str">
        <f t="shared" si="47"/>
        <v/>
      </c>
      <c r="Y159" s="690"/>
      <c r="Z159" s="695"/>
      <c r="AC159" s="8"/>
      <c r="AD159" s="5"/>
      <c r="AE159" s="5"/>
    </row>
    <row r="160" spans="2:31" x14ac:dyDescent="0.25">
      <c r="B160" s="341"/>
      <c r="C160" s="321"/>
      <c r="D160" s="342"/>
      <c r="E160" s="326"/>
      <c r="F160" s="326"/>
      <c r="G160" s="326"/>
      <c r="H160" s="277">
        <f t="shared" si="51"/>
        <v>0</v>
      </c>
      <c r="I160" s="326"/>
      <c r="J160" s="326"/>
      <c r="K160" s="326"/>
      <c r="L160" s="326"/>
      <c r="M160" s="909"/>
      <c r="N160" s="759" t="str">
        <f>IF(I160="","NA",IF(M160="",'Building Data schedule'!$C$14,M160))</f>
        <v>NA</v>
      </c>
      <c r="O160" s="684">
        <f t="shared" si="38"/>
        <v>0</v>
      </c>
      <c r="P160" s="911" t="str">
        <f t="shared" si="39"/>
        <v/>
      </c>
      <c r="Q160" s="910">
        <f t="shared" si="40"/>
        <v>0</v>
      </c>
      <c r="R160" s="683">
        <f t="shared" si="41"/>
        <v>0</v>
      </c>
      <c r="S160" s="897" t="str">
        <f t="shared" si="42"/>
        <v/>
      </c>
      <c r="T160" s="709">
        <f t="shared" si="43"/>
        <v>0</v>
      </c>
      <c r="U160" s="893" t="str">
        <f t="shared" si="44"/>
        <v/>
      </c>
      <c r="V160" s="683">
        <f t="shared" si="45"/>
        <v>0.17</v>
      </c>
      <c r="W160" s="683">
        <f t="shared" si="46"/>
        <v>0</v>
      </c>
      <c r="X160" s="683" t="str">
        <f t="shared" si="47"/>
        <v/>
      </c>
      <c r="Y160" s="690"/>
      <c r="Z160" s="695"/>
      <c r="AC160" s="8"/>
      <c r="AD160" s="5"/>
      <c r="AE160" s="5"/>
    </row>
    <row r="161" spans="2:31" x14ac:dyDescent="0.25">
      <c r="B161" s="341"/>
      <c r="C161" s="321"/>
      <c r="D161" s="342"/>
      <c r="E161" s="326"/>
      <c r="F161" s="326"/>
      <c r="G161" s="326"/>
      <c r="H161" s="277">
        <f t="shared" si="51"/>
        <v>0</v>
      </c>
      <c r="I161" s="326"/>
      <c r="J161" s="326"/>
      <c r="K161" s="326"/>
      <c r="L161" s="326"/>
      <c r="M161" s="909"/>
      <c r="N161" s="759" t="str">
        <f>IF(I161="","NA",IF(M161="",'Building Data schedule'!$C$14,M161))</f>
        <v>NA</v>
      </c>
      <c r="O161" s="684">
        <f t="shared" si="38"/>
        <v>0</v>
      </c>
      <c r="P161" s="911" t="str">
        <f t="shared" si="39"/>
        <v/>
      </c>
      <c r="Q161" s="910">
        <f t="shared" si="40"/>
        <v>0</v>
      </c>
      <c r="R161" s="683">
        <f t="shared" si="41"/>
        <v>0</v>
      </c>
      <c r="S161" s="897" t="str">
        <f t="shared" si="42"/>
        <v/>
      </c>
      <c r="T161" s="709">
        <f t="shared" si="43"/>
        <v>0</v>
      </c>
      <c r="U161" s="893" t="str">
        <f t="shared" si="44"/>
        <v/>
      </c>
      <c r="V161" s="683">
        <f t="shared" si="45"/>
        <v>0.17</v>
      </c>
      <c r="W161" s="683">
        <f t="shared" si="46"/>
        <v>0</v>
      </c>
      <c r="X161" s="683" t="str">
        <f t="shared" si="47"/>
        <v/>
      </c>
      <c r="Y161" s="690"/>
      <c r="Z161" s="695"/>
      <c r="AC161" s="8"/>
      <c r="AD161" s="5"/>
      <c r="AE161" s="5"/>
    </row>
    <row r="162" spans="2:31" x14ac:dyDescent="0.25">
      <c r="B162" s="341"/>
      <c r="C162" s="321"/>
      <c r="D162" s="342"/>
      <c r="E162" s="326"/>
      <c r="F162" s="326"/>
      <c r="G162" s="326"/>
      <c r="H162" s="277">
        <f t="shared" si="18"/>
        <v>0</v>
      </c>
      <c r="I162" s="326"/>
      <c r="J162" s="326"/>
      <c r="K162" s="326"/>
      <c r="L162" s="326"/>
      <c r="M162" s="909"/>
      <c r="N162" s="759" t="str">
        <f>IF(I162="","NA",IF(M162="",'Building Data schedule'!$C$14,M162))</f>
        <v>NA</v>
      </c>
      <c r="O162" s="684">
        <f t="shared" si="38"/>
        <v>0</v>
      </c>
      <c r="P162" s="911" t="str">
        <f t="shared" si="39"/>
        <v/>
      </c>
      <c r="Q162" s="910">
        <f t="shared" si="40"/>
        <v>0</v>
      </c>
      <c r="R162" s="683">
        <f t="shared" si="41"/>
        <v>0</v>
      </c>
      <c r="S162" s="897" t="str">
        <f t="shared" si="42"/>
        <v/>
      </c>
      <c r="T162" s="709">
        <f t="shared" si="43"/>
        <v>0</v>
      </c>
      <c r="U162" s="893" t="str">
        <f t="shared" si="44"/>
        <v/>
      </c>
      <c r="V162" s="683">
        <f t="shared" si="45"/>
        <v>0.17</v>
      </c>
      <c r="W162" s="683">
        <f t="shared" si="46"/>
        <v>0</v>
      </c>
      <c r="X162" s="683" t="str">
        <f t="shared" si="47"/>
        <v/>
      </c>
      <c r="Y162" s="690"/>
      <c r="Z162" s="695"/>
      <c r="AC162" s="5"/>
      <c r="AD162" s="5"/>
      <c r="AE162" s="5"/>
    </row>
    <row r="163" spans="2:31" x14ac:dyDescent="0.25">
      <c r="B163" s="341"/>
      <c r="C163" s="321"/>
      <c r="D163" s="342"/>
      <c r="E163" s="326"/>
      <c r="F163" s="326"/>
      <c r="G163" s="326"/>
      <c r="H163" s="277">
        <f t="shared" si="18"/>
        <v>0</v>
      </c>
      <c r="I163" s="326"/>
      <c r="J163" s="326"/>
      <c r="K163" s="326"/>
      <c r="L163" s="326"/>
      <c r="M163" s="909"/>
      <c r="N163" s="759" t="str">
        <f>IF(I163="","NA",IF(M163="",'Building Data schedule'!$C$14,M163))</f>
        <v>NA</v>
      </c>
      <c r="O163" s="684">
        <f t="shared" si="38"/>
        <v>0</v>
      </c>
      <c r="P163" s="911" t="str">
        <f t="shared" si="39"/>
        <v/>
      </c>
      <c r="Q163" s="910">
        <f t="shared" si="40"/>
        <v>0</v>
      </c>
      <c r="R163" s="683">
        <f t="shared" si="41"/>
        <v>0</v>
      </c>
      <c r="S163" s="897" t="str">
        <f t="shared" si="42"/>
        <v/>
      </c>
      <c r="T163" s="709">
        <f t="shared" si="43"/>
        <v>0</v>
      </c>
      <c r="U163" s="893" t="str">
        <f t="shared" si="44"/>
        <v/>
      </c>
      <c r="V163" s="683">
        <f t="shared" si="45"/>
        <v>0.17</v>
      </c>
      <c r="W163" s="683">
        <f t="shared" si="46"/>
        <v>0</v>
      </c>
      <c r="X163" s="683" t="str">
        <f t="shared" si="47"/>
        <v/>
      </c>
      <c r="Y163" s="690"/>
      <c r="Z163" s="695"/>
      <c r="AC163" s="5"/>
      <c r="AD163" s="5"/>
      <c r="AE163" s="5"/>
    </row>
    <row r="164" spans="2:31" x14ac:dyDescent="0.25">
      <c r="B164" s="341"/>
      <c r="C164" s="321"/>
      <c r="D164" s="342"/>
      <c r="E164" s="326"/>
      <c r="F164" s="326"/>
      <c r="G164" s="326"/>
      <c r="H164" s="277">
        <f t="shared" si="18"/>
        <v>0</v>
      </c>
      <c r="I164" s="326"/>
      <c r="J164" s="326"/>
      <c r="K164" s="326"/>
      <c r="L164" s="326"/>
      <c r="M164" s="909"/>
      <c r="N164" s="759" t="str">
        <f>IF(I164="","NA",IF(M164="",'Building Data schedule'!$C$14,M164))</f>
        <v>NA</v>
      </c>
      <c r="O164" s="684">
        <f t="shared" si="38"/>
        <v>0</v>
      </c>
      <c r="P164" s="911" t="str">
        <f t="shared" si="39"/>
        <v/>
      </c>
      <c r="Q164" s="910">
        <f t="shared" si="40"/>
        <v>0</v>
      </c>
      <c r="R164" s="683">
        <f t="shared" si="41"/>
        <v>0</v>
      </c>
      <c r="S164" s="897" t="str">
        <f t="shared" si="42"/>
        <v/>
      </c>
      <c r="T164" s="709">
        <f t="shared" si="43"/>
        <v>0</v>
      </c>
      <c r="U164" s="893" t="str">
        <f t="shared" si="44"/>
        <v/>
      </c>
      <c r="V164" s="683">
        <f t="shared" si="45"/>
        <v>0.17</v>
      </c>
      <c r="W164" s="683">
        <f t="shared" si="46"/>
        <v>0</v>
      </c>
      <c r="X164" s="683" t="str">
        <f t="shared" si="47"/>
        <v/>
      </c>
      <c r="Y164" s="690"/>
      <c r="Z164" s="695"/>
      <c r="AC164" s="5"/>
      <c r="AD164" s="5"/>
      <c r="AE164" s="5"/>
    </row>
    <row r="165" spans="2:31" x14ac:dyDescent="0.25">
      <c r="B165" s="341"/>
      <c r="C165" s="321"/>
      <c r="D165" s="342"/>
      <c r="E165" s="326"/>
      <c r="F165" s="326"/>
      <c r="G165" s="326"/>
      <c r="H165" s="277">
        <f t="shared" si="18"/>
        <v>0</v>
      </c>
      <c r="I165" s="326"/>
      <c r="J165" s="326"/>
      <c r="K165" s="326"/>
      <c r="L165" s="326"/>
      <c r="M165" s="909"/>
      <c r="N165" s="759" t="str">
        <f>IF(I165="","NA",IF(M165="",'Building Data schedule'!$C$14,M165))</f>
        <v>NA</v>
      </c>
      <c r="O165" s="684">
        <f t="shared" si="38"/>
        <v>0</v>
      </c>
      <c r="P165" s="911" t="str">
        <f t="shared" si="39"/>
        <v/>
      </c>
      <c r="Q165" s="910">
        <f t="shared" si="40"/>
        <v>0</v>
      </c>
      <c r="R165" s="683">
        <f t="shared" si="41"/>
        <v>0</v>
      </c>
      <c r="S165" s="897" t="str">
        <f t="shared" si="42"/>
        <v/>
      </c>
      <c r="T165" s="709">
        <f t="shared" si="43"/>
        <v>0</v>
      </c>
      <c r="U165" s="893" t="str">
        <f t="shared" si="44"/>
        <v/>
      </c>
      <c r="V165" s="683">
        <f t="shared" si="45"/>
        <v>0.17</v>
      </c>
      <c r="W165" s="683">
        <f t="shared" si="46"/>
        <v>0</v>
      </c>
      <c r="X165" s="683" t="str">
        <f t="shared" si="47"/>
        <v/>
      </c>
      <c r="Y165" s="690"/>
      <c r="Z165" s="695"/>
      <c r="AC165" s="5"/>
      <c r="AD165" s="5"/>
      <c r="AE165" s="5"/>
    </row>
    <row r="166" spans="2:31" x14ac:dyDescent="0.25">
      <c r="B166" s="341"/>
      <c r="C166" s="321"/>
      <c r="D166" s="342"/>
      <c r="E166" s="326"/>
      <c r="F166" s="326"/>
      <c r="G166" s="326"/>
      <c r="H166" s="277">
        <f t="shared" si="18"/>
        <v>0</v>
      </c>
      <c r="I166" s="326"/>
      <c r="J166" s="326"/>
      <c r="K166" s="326"/>
      <c r="L166" s="326"/>
      <c r="M166" s="909"/>
      <c r="N166" s="759" t="str">
        <f>IF(I166="","NA",IF(M166="",'Building Data schedule'!$C$14,M166))</f>
        <v>NA</v>
      </c>
      <c r="O166" s="684">
        <f t="shared" si="38"/>
        <v>0</v>
      </c>
      <c r="P166" s="911" t="str">
        <f t="shared" si="39"/>
        <v/>
      </c>
      <c r="Q166" s="910">
        <f t="shared" si="40"/>
        <v>0</v>
      </c>
      <c r="R166" s="683">
        <f t="shared" si="41"/>
        <v>0</v>
      </c>
      <c r="S166" s="897" t="str">
        <f t="shared" si="42"/>
        <v/>
      </c>
      <c r="T166" s="709">
        <f t="shared" si="43"/>
        <v>0</v>
      </c>
      <c r="U166" s="893" t="str">
        <f t="shared" si="44"/>
        <v/>
      </c>
      <c r="V166" s="683">
        <f t="shared" si="45"/>
        <v>0.17</v>
      </c>
      <c r="W166" s="683">
        <f t="shared" si="46"/>
        <v>0</v>
      </c>
      <c r="X166" s="683" t="str">
        <f t="shared" si="47"/>
        <v/>
      </c>
      <c r="Y166" s="690"/>
      <c r="Z166" s="695"/>
      <c r="AC166" s="5"/>
      <c r="AD166" s="5"/>
      <c r="AE166" s="5"/>
    </row>
    <row r="167" spans="2:31" x14ac:dyDescent="0.25">
      <c r="B167" s="341"/>
      <c r="C167" s="321"/>
      <c r="D167" s="342"/>
      <c r="E167" s="326"/>
      <c r="F167" s="326"/>
      <c r="G167" s="326"/>
      <c r="H167" s="277">
        <f>E167*F167*G167</f>
        <v>0</v>
      </c>
      <c r="I167" s="326"/>
      <c r="J167" s="326"/>
      <c r="K167" s="326"/>
      <c r="L167" s="326"/>
      <c r="M167" s="909"/>
      <c r="N167" s="759" t="str">
        <f>IF(I167="","NA",IF(M167="",'Building Data schedule'!$C$14,M167))</f>
        <v>NA</v>
      </c>
      <c r="O167" s="684">
        <f t="shared" si="38"/>
        <v>0</v>
      </c>
      <c r="P167" s="911" t="str">
        <f t="shared" si="39"/>
        <v/>
      </c>
      <c r="Q167" s="910">
        <f t="shared" si="40"/>
        <v>0</v>
      </c>
      <c r="R167" s="683">
        <f t="shared" si="41"/>
        <v>0</v>
      </c>
      <c r="S167" s="897" t="str">
        <f t="shared" si="42"/>
        <v/>
      </c>
      <c r="T167" s="709">
        <f t="shared" si="43"/>
        <v>0</v>
      </c>
      <c r="U167" s="893" t="str">
        <f t="shared" si="44"/>
        <v/>
      </c>
      <c r="V167" s="683">
        <f t="shared" si="45"/>
        <v>0.17</v>
      </c>
      <c r="W167" s="683">
        <f t="shared" si="46"/>
        <v>0</v>
      </c>
      <c r="X167" s="683" t="str">
        <f t="shared" si="47"/>
        <v/>
      </c>
      <c r="Y167" s="690"/>
      <c r="Z167" s="695"/>
      <c r="AC167" s="5"/>
      <c r="AD167" s="5"/>
      <c r="AE167" s="5"/>
    </row>
    <row r="168" spans="2:31" x14ac:dyDescent="0.25">
      <c r="B168" s="341"/>
      <c r="C168" s="321"/>
      <c r="D168" s="342"/>
      <c r="E168" s="326"/>
      <c r="F168" s="326"/>
      <c r="G168" s="326"/>
      <c r="H168" s="277">
        <f>E168*F168*G168</f>
        <v>0</v>
      </c>
      <c r="I168" s="326"/>
      <c r="J168" s="326"/>
      <c r="K168" s="326"/>
      <c r="L168" s="326"/>
      <c r="M168" s="909"/>
      <c r="N168" s="759" t="str">
        <f>IF(I168="","NA",IF(M168="",'Building Data schedule'!$C$14,M168))</f>
        <v>NA</v>
      </c>
      <c r="O168" s="684">
        <f t="shared" si="38"/>
        <v>0</v>
      </c>
      <c r="P168" s="911" t="str">
        <f t="shared" si="39"/>
        <v/>
      </c>
      <c r="Q168" s="910">
        <f t="shared" si="40"/>
        <v>0</v>
      </c>
      <c r="R168" s="683">
        <f t="shared" si="41"/>
        <v>0</v>
      </c>
      <c r="S168" s="897" t="str">
        <f t="shared" si="42"/>
        <v/>
      </c>
      <c r="T168" s="709">
        <f t="shared" si="43"/>
        <v>0</v>
      </c>
      <c r="U168" s="893" t="str">
        <f t="shared" si="44"/>
        <v/>
      </c>
      <c r="V168" s="683">
        <f t="shared" si="45"/>
        <v>0.17</v>
      </c>
      <c r="W168" s="683">
        <f t="shared" si="46"/>
        <v>0</v>
      </c>
      <c r="X168" s="683" t="str">
        <f t="shared" si="47"/>
        <v/>
      </c>
      <c r="Y168" s="690"/>
      <c r="Z168" s="695"/>
      <c r="AC168" s="8"/>
      <c r="AD168" s="5"/>
      <c r="AE168" s="5"/>
    </row>
    <row r="169" spans="2:31" x14ac:dyDescent="0.25">
      <c r="B169" s="341"/>
      <c r="C169" s="321"/>
      <c r="D169" s="342"/>
      <c r="E169" s="326"/>
      <c r="F169" s="326"/>
      <c r="G169" s="326"/>
      <c r="H169" s="277">
        <f t="shared" ref="H169:H171" si="52">E169*F169*G169</f>
        <v>0</v>
      </c>
      <c r="I169" s="326"/>
      <c r="J169" s="326"/>
      <c r="K169" s="326"/>
      <c r="L169" s="326"/>
      <c r="M169" s="909"/>
      <c r="N169" s="759" t="str">
        <f>IF(I169="","NA",IF(M169="",'Building Data schedule'!$C$14,M169))</f>
        <v>NA</v>
      </c>
      <c r="O169" s="684">
        <f t="shared" si="38"/>
        <v>0</v>
      </c>
      <c r="P169" s="911" t="str">
        <f t="shared" si="39"/>
        <v/>
      </c>
      <c r="Q169" s="910">
        <f t="shared" si="40"/>
        <v>0</v>
      </c>
      <c r="R169" s="683">
        <f t="shared" si="41"/>
        <v>0</v>
      </c>
      <c r="S169" s="897" t="str">
        <f t="shared" si="42"/>
        <v/>
      </c>
      <c r="T169" s="709">
        <f t="shared" si="43"/>
        <v>0</v>
      </c>
      <c r="U169" s="893" t="str">
        <f t="shared" si="44"/>
        <v/>
      </c>
      <c r="V169" s="683">
        <f t="shared" si="45"/>
        <v>0.17</v>
      </c>
      <c r="W169" s="683">
        <f t="shared" si="46"/>
        <v>0</v>
      </c>
      <c r="X169" s="683" t="str">
        <f t="shared" si="47"/>
        <v/>
      </c>
      <c r="Y169" s="690"/>
      <c r="Z169" s="695"/>
      <c r="AC169" s="8"/>
      <c r="AD169" s="5"/>
      <c r="AE169" s="5"/>
    </row>
    <row r="170" spans="2:31" x14ac:dyDescent="0.25">
      <c r="B170" s="341"/>
      <c r="C170" s="321"/>
      <c r="D170" s="342"/>
      <c r="E170" s="326"/>
      <c r="F170" s="326"/>
      <c r="G170" s="326"/>
      <c r="H170" s="277">
        <f t="shared" si="52"/>
        <v>0</v>
      </c>
      <c r="I170" s="326"/>
      <c r="J170" s="326"/>
      <c r="K170" s="326"/>
      <c r="L170" s="326"/>
      <c r="M170" s="909"/>
      <c r="N170" s="759" t="str">
        <f>IF(I170="","NA",IF(M170="",'Building Data schedule'!$C$14,M170))</f>
        <v>NA</v>
      </c>
      <c r="O170" s="684">
        <f t="shared" si="38"/>
        <v>0</v>
      </c>
      <c r="P170" s="911" t="str">
        <f t="shared" si="39"/>
        <v/>
      </c>
      <c r="Q170" s="910">
        <f t="shared" si="40"/>
        <v>0</v>
      </c>
      <c r="R170" s="683">
        <f t="shared" si="41"/>
        <v>0</v>
      </c>
      <c r="S170" s="897" t="str">
        <f t="shared" si="42"/>
        <v/>
      </c>
      <c r="T170" s="709">
        <f t="shared" si="43"/>
        <v>0</v>
      </c>
      <c r="U170" s="893" t="str">
        <f t="shared" si="44"/>
        <v/>
      </c>
      <c r="V170" s="683">
        <f t="shared" si="45"/>
        <v>0.17</v>
      </c>
      <c r="W170" s="683">
        <f t="shared" si="46"/>
        <v>0</v>
      </c>
      <c r="X170" s="683" t="str">
        <f t="shared" si="47"/>
        <v/>
      </c>
      <c r="Y170" s="690"/>
      <c r="Z170" s="695"/>
      <c r="AC170" s="8"/>
      <c r="AD170" s="5"/>
      <c r="AE170" s="5"/>
    </row>
    <row r="171" spans="2:31" x14ac:dyDescent="0.25">
      <c r="B171" s="341"/>
      <c r="C171" s="321"/>
      <c r="D171" s="342"/>
      <c r="E171" s="326"/>
      <c r="F171" s="326"/>
      <c r="G171" s="326"/>
      <c r="H171" s="277">
        <f t="shared" si="52"/>
        <v>0</v>
      </c>
      <c r="I171" s="326"/>
      <c r="J171" s="326"/>
      <c r="K171" s="326"/>
      <c r="L171" s="326"/>
      <c r="M171" s="909"/>
      <c r="N171" s="759" t="str">
        <f>IF(I171="","NA",IF(M171="",'Building Data schedule'!$C$14,M171))</f>
        <v>NA</v>
      </c>
      <c r="O171" s="684">
        <f t="shared" si="38"/>
        <v>0</v>
      </c>
      <c r="P171" s="911" t="str">
        <f t="shared" si="39"/>
        <v/>
      </c>
      <c r="Q171" s="910">
        <f t="shared" si="40"/>
        <v>0</v>
      </c>
      <c r="R171" s="683">
        <f t="shared" si="41"/>
        <v>0</v>
      </c>
      <c r="S171" s="897" t="str">
        <f t="shared" si="42"/>
        <v/>
      </c>
      <c r="T171" s="709">
        <f t="shared" si="43"/>
        <v>0</v>
      </c>
      <c r="U171" s="893" t="str">
        <f t="shared" si="44"/>
        <v/>
      </c>
      <c r="V171" s="683">
        <f t="shared" si="45"/>
        <v>0.17</v>
      </c>
      <c r="W171" s="683">
        <f t="shared" si="46"/>
        <v>0</v>
      </c>
      <c r="X171" s="683" t="str">
        <f t="shared" si="47"/>
        <v/>
      </c>
      <c r="Y171" s="690"/>
      <c r="Z171" s="695"/>
      <c r="AC171" s="8"/>
      <c r="AD171" s="5"/>
      <c r="AE171" s="5"/>
    </row>
    <row r="172" spans="2:31" x14ac:dyDescent="0.25">
      <c r="B172" s="341"/>
      <c r="C172" s="321"/>
      <c r="D172" s="342"/>
      <c r="E172" s="326"/>
      <c r="F172" s="326"/>
      <c r="G172" s="326"/>
      <c r="H172" s="277">
        <f t="shared" ref="H172:H176" si="53">E172*F172*G172</f>
        <v>0</v>
      </c>
      <c r="I172" s="326"/>
      <c r="J172" s="326"/>
      <c r="K172" s="326"/>
      <c r="L172" s="326"/>
      <c r="M172" s="909"/>
      <c r="N172" s="759" t="str">
        <f>IF(I172="","NA",IF(M172="",'Building Data schedule'!$C$14,M172))</f>
        <v>NA</v>
      </c>
      <c r="O172" s="684">
        <f t="shared" si="38"/>
        <v>0</v>
      </c>
      <c r="P172" s="911" t="str">
        <f t="shared" si="39"/>
        <v/>
      </c>
      <c r="Q172" s="910">
        <f t="shared" si="40"/>
        <v>0</v>
      </c>
      <c r="R172" s="683">
        <f t="shared" si="41"/>
        <v>0</v>
      </c>
      <c r="S172" s="897" t="str">
        <f t="shared" si="42"/>
        <v/>
      </c>
      <c r="T172" s="709">
        <f t="shared" si="43"/>
        <v>0</v>
      </c>
      <c r="U172" s="893" t="str">
        <f t="shared" si="44"/>
        <v/>
      </c>
      <c r="V172" s="683">
        <f t="shared" si="45"/>
        <v>0.17</v>
      </c>
      <c r="W172" s="683">
        <f t="shared" si="46"/>
        <v>0</v>
      </c>
      <c r="X172" s="683" t="str">
        <f t="shared" si="47"/>
        <v/>
      </c>
      <c r="Y172" s="690"/>
      <c r="Z172" s="695"/>
      <c r="AC172" s="5"/>
      <c r="AD172" s="5"/>
      <c r="AE172" s="5"/>
    </row>
    <row r="173" spans="2:31" x14ac:dyDescent="0.25">
      <c r="B173" s="341"/>
      <c r="C173" s="321"/>
      <c r="D173" s="342"/>
      <c r="E173" s="326"/>
      <c r="F173" s="326"/>
      <c r="G173" s="326"/>
      <c r="H173" s="277">
        <f t="shared" si="53"/>
        <v>0</v>
      </c>
      <c r="I173" s="326"/>
      <c r="J173" s="326"/>
      <c r="K173" s="326"/>
      <c r="L173" s="326"/>
      <c r="M173" s="909"/>
      <c r="N173" s="759" t="str">
        <f>IF(I173="","NA",IF(M173="",'Building Data schedule'!$C$14,M173))</f>
        <v>NA</v>
      </c>
      <c r="O173" s="684">
        <f t="shared" si="38"/>
        <v>0</v>
      </c>
      <c r="P173" s="911" t="str">
        <f t="shared" si="39"/>
        <v/>
      </c>
      <c r="Q173" s="910">
        <f t="shared" si="40"/>
        <v>0</v>
      </c>
      <c r="R173" s="683">
        <f t="shared" si="41"/>
        <v>0</v>
      </c>
      <c r="S173" s="897" t="str">
        <f t="shared" si="42"/>
        <v/>
      </c>
      <c r="T173" s="709">
        <f t="shared" si="43"/>
        <v>0</v>
      </c>
      <c r="U173" s="893" t="str">
        <f t="shared" si="44"/>
        <v/>
      </c>
      <c r="V173" s="683">
        <f t="shared" si="45"/>
        <v>0.17</v>
      </c>
      <c r="W173" s="683">
        <f t="shared" si="46"/>
        <v>0</v>
      </c>
      <c r="X173" s="683" t="str">
        <f t="shared" si="47"/>
        <v/>
      </c>
      <c r="Y173" s="690"/>
      <c r="Z173" s="695"/>
      <c r="AC173" s="5"/>
      <c r="AD173" s="5"/>
      <c r="AE173" s="5"/>
    </row>
    <row r="174" spans="2:31" x14ac:dyDescent="0.25">
      <c r="B174" s="341"/>
      <c r="C174" s="321"/>
      <c r="D174" s="342"/>
      <c r="E174" s="326"/>
      <c r="F174" s="326"/>
      <c r="G174" s="326"/>
      <c r="H174" s="277">
        <f t="shared" si="53"/>
        <v>0</v>
      </c>
      <c r="I174" s="326"/>
      <c r="J174" s="326"/>
      <c r="K174" s="326"/>
      <c r="L174" s="326"/>
      <c r="M174" s="909"/>
      <c r="N174" s="759" t="str">
        <f>IF(I174="","NA",IF(M174="",'Building Data schedule'!$C$14,M174))</f>
        <v>NA</v>
      </c>
      <c r="O174" s="684">
        <f t="shared" si="38"/>
        <v>0</v>
      </c>
      <c r="P174" s="911" t="str">
        <f t="shared" si="39"/>
        <v/>
      </c>
      <c r="Q174" s="910">
        <f t="shared" si="40"/>
        <v>0</v>
      </c>
      <c r="R174" s="683">
        <f t="shared" si="41"/>
        <v>0</v>
      </c>
      <c r="S174" s="897" t="str">
        <f t="shared" si="42"/>
        <v/>
      </c>
      <c r="T174" s="709">
        <f t="shared" si="43"/>
        <v>0</v>
      </c>
      <c r="U174" s="893" t="str">
        <f t="shared" si="44"/>
        <v/>
      </c>
      <c r="V174" s="683">
        <f t="shared" si="45"/>
        <v>0.17</v>
      </c>
      <c r="W174" s="683">
        <f t="shared" si="46"/>
        <v>0</v>
      </c>
      <c r="X174" s="683" t="str">
        <f t="shared" si="47"/>
        <v/>
      </c>
      <c r="Y174" s="690"/>
      <c r="Z174" s="695"/>
      <c r="AC174" s="5"/>
      <c r="AD174" s="5"/>
      <c r="AE174" s="5"/>
    </row>
    <row r="175" spans="2:31" x14ac:dyDescent="0.25">
      <c r="B175" s="341"/>
      <c r="C175" s="321"/>
      <c r="D175" s="342"/>
      <c r="E175" s="326"/>
      <c r="F175" s="326"/>
      <c r="G175" s="326"/>
      <c r="H175" s="277">
        <f t="shared" si="53"/>
        <v>0</v>
      </c>
      <c r="I175" s="326"/>
      <c r="J175" s="326"/>
      <c r="K175" s="326"/>
      <c r="L175" s="326"/>
      <c r="M175" s="909"/>
      <c r="N175" s="759" t="str">
        <f>IF(I175="","NA",IF(M175="",'Building Data schedule'!$C$14,M175))</f>
        <v>NA</v>
      </c>
      <c r="O175" s="684">
        <f t="shared" si="38"/>
        <v>0</v>
      </c>
      <c r="P175" s="911" t="str">
        <f t="shared" si="39"/>
        <v/>
      </c>
      <c r="Q175" s="910">
        <f t="shared" si="40"/>
        <v>0</v>
      </c>
      <c r="R175" s="683">
        <f t="shared" si="41"/>
        <v>0</v>
      </c>
      <c r="S175" s="897" t="str">
        <f t="shared" si="42"/>
        <v/>
      </c>
      <c r="T175" s="709">
        <f t="shared" si="43"/>
        <v>0</v>
      </c>
      <c r="U175" s="893" t="str">
        <f t="shared" si="44"/>
        <v/>
      </c>
      <c r="V175" s="683">
        <f t="shared" si="45"/>
        <v>0.17</v>
      </c>
      <c r="W175" s="683">
        <f t="shared" si="46"/>
        <v>0</v>
      </c>
      <c r="X175" s="683" t="str">
        <f t="shared" si="47"/>
        <v/>
      </c>
      <c r="Y175" s="690"/>
      <c r="Z175" s="695"/>
      <c r="AC175" s="5"/>
      <c r="AD175" s="5"/>
      <c r="AE175" s="5"/>
    </row>
    <row r="176" spans="2:31" x14ac:dyDescent="0.25">
      <c r="B176" s="341"/>
      <c r="C176" s="321"/>
      <c r="D176" s="342"/>
      <c r="E176" s="326"/>
      <c r="F176" s="326"/>
      <c r="G176" s="326"/>
      <c r="H176" s="277">
        <f t="shared" si="53"/>
        <v>0</v>
      </c>
      <c r="I176" s="326"/>
      <c r="J176" s="326"/>
      <c r="K176" s="326"/>
      <c r="L176" s="326"/>
      <c r="M176" s="909"/>
      <c r="N176" s="759" t="str">
        <f>IF(I176="","NA",IF(M176="",'Building Data schedule'!$C$14,M176))</f>
        <v>NA</v>
      </c>
      <c r="O176" s="684">
        <f t="shared" si="38"/>
        <v>0</v>
      </c>
      <c r="P176" s="911" t="str">
        <f t="shared" si="39"/>
        <v/>
      </c>
      <c r="Q176" s="910">
        <f t="shared" si="40"/>
        <v>0</v>
      </c>
      <c r="R176" s="683">
        <f t="shared" si="41"/>
        <v>0</v>
      </c>
      <c r="S176" s="897" t="str">
        <f t="shared" si="42"/>
        <v/>
      </c>
      <c r="T176" s="709">
        <f t="shared" si="43"/>
        <v>0</v>
      </c>
      <c r="U176" s="893" t="str">
        <f t="shared" si="44"/>
        <v/>
      </c>
      <c r="V176" s="683">
        <f t="shared" si="45"/>
        <v>0.17</v>
      </c>
      <c r="W176" s="683">
        <f t="shared" si="46"/>
        <v>0</v>
      </c>
      <c r="X176" s="683" t="str">
        <f t="shared" si="47"/>
        <v/>
      </c>
      <c r="Y176" s="690"/>
      <c r="Z176" s="695"/>
      <c r="AC176" s="5"/>
      <c r="AD176" s="5"/>
      <c r="AE176" s="5"/>
    </row>
    <row r="177" spans="2:31" x14ac:dyDescent="0.25">
      <c r="B177" s="341"/>
      <c r="C177" s="321"/>
      <c r="D177" s="342"/>
      <c r="E177" s="326"/>
      <c r="F177" s="326"/>
      <c r="G177" s="326"/>
      <c r="H177" s="277">
        <f>E177*F177*G177</f>
        <v>0</v>
      </c>
      <c r="I177" s="326"/>
      <c r="J177" s="326"/>
      <c r="K177" s="326"/>
      <c r="L177" s="326"/>
      <c r="M177" s="909"/>
      <c r="N177" s="759" t="str">
        <f>IF(I177="","NA",IF(M177="",'Building Data schedule'!$C$14,M177))</f>
        <v>NA</v>
      </c>
      <c r="O177" s="684">
        <f t="shared" si="38"/>
        <v>0</v>
      </c>
      <c r="P177" s="911" t="str">
        <f t="shared" si="39"/>
        <v/>
      </c>
      <c r="Q177" s="910">
        <f t="shared" si="40"/>
        <v>0</v>
      </c>
      <c r="R177" s="683">
        <f t="shared" si="41"/>
        <v>0</v>
      </c>
      <c r="S177" s="897" t="str">
        <f t="shared" si="42"/>
        <v/>
      </c>
      <c r="T177" s="709">
        <f t="shared" si="43"/>
        <v>0</v>
      </c>
      <c r="U177" s="893" t="str">
        <f t="shared" si="44"/>
        <v/>
      </c>
      <c r="V177" s="683">
        <f t="shared" si="45"/>
        <v>0.17</v>
      </c>
      <c r="W177" s="683">
        <f t="shared" si="46"/>
        <v>0</v>
      </c>
      <c r="X177" s="683" t="str">
        <f t="shared" si="47"/>
        <v/>
      </c>
      <c r="Y177" s="690"/>
      <c r="Z177" s="695"/>
      <c r="AC177" s="5"/>
      <c r="AD177" s="5"/>
      <c r="AE177" s="5"/>
    </row>
    <row r="178" spans="2:31" x14ac:dyDescent="0.25">
      <c r="B178" s="341"/>
      <c r="C178" s="321"/>
      <c r="D178" s="342"/>
      <c r="E178" s="326"/>
      <c r="F178" s="326"/>
      <c r="G178" s="326"/>
      <c r="H178" s="277">
        <f>E178*F178*G178</f>
        <v>0</v>
      </c>
      <c r="I178" s="326"/>
      <c r="J178" s="326"/>
      <c r="K178" s="326"/>
      <c r="L178" s="326"/>
      <c r="M178" s="909"/>
      <c r="N178" s="759" t="str">
        <f>IF(I178="","NA",IF(M178="",'Building Data schedule'!$C$14,M178))</f>
        <v>NA</v>
      </c>
      <c r="O178" s="684">
        <f t="shared" si="38"/>
        <v>0</v>
      </c>
      <c r="P178" s="911" t="str">
        <f t="shared" si="39"/>
        <v/>
      </c>
      <c r="Q178" s="910">
        <f t="shared" si="40"/>
        <v>0</v>
      </c>
      <c r="R178" s="683">
        <f t="shared" si="41"/>
        <v>0</v>
      </c>
      <c r="S178" s="897" t="str">
        <f t="shared" si="42"/>
        <v/>
      </c>
      <c r="T178" s="709">
        <f t="shared" si="43"/>
        <v>0</v>
      </c>
      <c r="U178" s="893" t="str">
        <f t="shared" si="44"/>
        <v/>
      </c>
      <c r="V178" s="683">
        <f t="shared" si="45"/>
        <v>0.17</v>
      </c>
      <c r="W178" s="683">
        <f t="shared" si="46"/>
        <v>0</v>
      </c>
      <c r="X178" s="683" t="str">
        <f t="shared" si="47"/>
        <v/>
      </c>
      <c r="Y178" s="690"/>
      <c r="Z178" s="695"/>
      <c r="AC178" s="8"/>
      <c r="AD178" s="5"/>
      <c r="AE178" s="5"/>
    </row>
    <row r="179" spans="2:31" x14ac:dyDescent="0.25">
      <c r="B179" s="341"/>
      <c r="C179" s="321"/>
      <c r="D179" s="342"/>
      <c r="E179" s="326"/>
      <c r="F179" s="326"/>
      <c r="G179" s="326"/>
      <c r="H179" s="277">
        <f t="shared" ref="H179:H181" si="54">E179*F179*G179</f>
        <v>0</v>
      </c>
      <c r="I179" s="326"/>
      <c r="J179" s="326"/>
      <c r="K179" s="326"/>
      <c r="L179" s="326"/>
      <c r="M179" s="909"/>
      <c r="N179" s="759" t="str">
        <f>IF(I179="","NA",IF(M179="",'Building Data schedule'!$C$14,M179))</f>
        <v>NA</v>
      </c>
      <c r="O179" s="684">
        <f t="shared" si="38"/>
        <v>0</v>
      </c>
      <c r="P179" s="911" t="str">
        <f t="shared" si="39"/>
        <v/>
      </c>
      <c r="Q179" s="910">
        <f t="shared" si="40"/>
        <v>0</v>
      </c>
      <c r="R179" s="683">
        <f t="shared" si="41"/>
        <v>0</v>
      </c>
      <c r="S179" s="897" t="str">
        <f t="shared" si="42"/>
        <v/>
      </c>
      <c r="T179" s="709">
        <f t="shared" si="43"/>
        <v>0</v>
      </c>
      <c r="U179" s="893" t="str">
        <f t="shared" si="44"/>
        <v/>
      </c>
      <c r="V179" s="683">
        <f t="shared" si="45"/>
        <v>0.17</v>
      </c>
      <c r="W179" s="683">
        <f t="shared" si="46"/>
        <v>0</v>
      </c>
      <c r="X179" s="683" t="str">
        <f t="shared" si="47"/>
        <v/>
      </c>
      <c r="Y179" s="690"/>
      <c r="Z179" s="695"/>
      <c r="AC179" s="8"/>
      <c r="AD179" s="5"/>
      <c r="AE179" s="5"/>
    </row>
    <row r="180" spans="2:31" x14ac:dyDescent="0.25">
      <c r="B180" s="341"/>
      <c r="C180" s="321"/>
      <c r="D180" s="342"/>
      <c r="E180" s="326"/>
      <c r="F180" s="326"/>
      <c r="G180" s="326"/>
      <c r="H180" s="277">
        <f t="shared" si="54"/>
        <v>0</v>
      </c>
      <c r="I180" s="326"/>
      <c r="J180" s="326"/>
      <c r="K180" s="326"/>
      <c r="L180" s="326"/>
      <c r="M180" s="909"/>
      <c r="N180" s="759" t="str">
        <f>IF(I180="","NA",IF(M180="",'Building Data schedule'!$C$14,M180))</f>
        <v>NA</v>
      </c>
      <c r="O180" s="684">
        <f t="shared" si="38"/>
        <v>0</v>
      </c>
      <c r="P180" s="911" t="str">
        <f t="shared" si="39"/>
        <v/>
      </c>
      <c r="Q180" s="910">
        <f t="shared" si="40"/>
        <v>0</v>
      </c>
      <c r="R180" s="683">
        <f t="shared" si="41"/>
        <v>0</v>
      </c>
      <c r="S180" s="897" t="str">
        <f t="shared" si="42"/>
        <v/>
      </c>
      <c r="T180" s="709">
        <f t="shared" si="43"/>
        <v>0</v>
      </c>
      <c r="U180" s="893" t="str">
        <f t="shared" si="44"/>
        <v/>
      </c>
      <c r="V180" s="683">
        <f t="shared" si="45"/>
        <v>0.17</v>
      </c>
      <c r="W180" s="683">
        <f t="shared" si="46"/>
        <v>0</v>
      </c>
      <c r="X180" s="683" t="str">
        <f t="shared" si="47"/>
        <v/>
      </c>
      <c r="Y180" s="690"/>
      <c r="Z180" s="695"/>
      <c r="AC180" s="8"/>
      <c r="AD180" s="5"/>
      <c r="AE180" s="5"/>
    </row>
    <row r="181" spans="2:31" x14ac:dyDescent="0.25">
      <c r="B181" s="341"/>
      <c r="C181" s="321"/>
      <c r="D181" s="342"/>
      <c r="E181" s="326"/>
      <c r="F181" s="326"/>
      <c r="G181" s="326"/>
      <c r="H181" s="277">
        <f t="shared" si="54"/>
        <v>0</v>
      </c>
      <c r="I181" s="326"/>
      <c r="J181" s="326"/>
      <c r="K181" s="326"/>
      <c r="L181" s="326"/>
      <c r="M181" s="909"/>
      <c r="N181" s="759" t="str">
        <f>IF(I181="","NA",IF(M181="",'Building Data schedule'!$C$14,M181))</f>
        <v>NA</v>
      </c>
      <c r="O181" s="684">
        <f t="shared" si="38"/>
        <v>0</v>
      </c>
      <c r="P181" s="911" t="str">
        <f t="shared" si="39"/>
        <v/>
      </c>
      <c r="Q181" s="910">
        <f t="shared" si="40"/>
        <v>0</v>
      </c>
      <c r="R181" s="683">
        <f t="shared" si="41"/>
        <v>0</v>
      </c>
      <c r="S181" s="897" t="str">
        <f t="shared" si="42"/>
        <v/>
      </c>
      <c r="T181" s="709">
        <f t="shared" si="43"/>
        <v>0</v>
      </c>
      <c r="U181" s="893" t="str">
        <f t="shared" si="44"/>
        <v/>
      </c>
      <c r="V181" s="683">
        <f t="shared" si="45"/>
        <v>0.17</v>
      </c>
      <c r="W181" s="683">
        <f t="shared" si="46"/>
        <v>0</v>
      </c>
      <c r="X181" s="683" t="str">
        <f t="shared" si="47"/>
        <v/>
      </c>
      <c r="Y181" s="690"/>
      <c r="Z181" s="695"/>
      <c r="AC181" s="8"/>
      <c r="AD181" s="5"/>
      <c r="AE181" s="5"/>
    </row>
    <row r="182" spans="2:31" x14ac:dyDescent="0.25">
      <c r="B182" s="341"/>
      <c r="C182" s="321"/>
      <c r="D182" s="342"/>
      <c r="E182" s="326"/>
      <c r="F182" s="326"/>
      <c r="G182" s="326"/>
      <c r="H182" s="277">
        <f t="shared" si="18"/>
        <v>0</v>
      </c>
      <c r="I182" s="326"/>
      <c r="J182" s="326"/>
      <c r="K182" s="326"/>
      <c r="L182" s="326"/>
      <c r="M182" s="909"/>
      <c r="N182" s="759" t="str">
        <f>IF(I182="","NA",IF(M182="",'Building Data schedule'!$C$14,M182))</f>
        <v>NA</v>
      </c>
      <c r="O182" s="684">
        <f t="shared" si="38"/>
        <v>0</v>
      </c>
      <c r="P182" s="911" t="str">
        <f t="shared" si="39"/>
        <v/>
      </c>
      <c r="Q182" s="910">
        <f t="shared" si="40"/>
        <v>0</v>
      </c>
      <c r="R182" s="683">
        <f t="shared" si="41"/>
        <v>0</v>
      </c>
      <c r="S182" s="897" t="str">
        <f t="shared" si="42"/>
        <v/>
      </c>
      <c r="T182" s="709">
        <f t="shared" si="43"/>
        <v>0</v>
      </c>
      <c r="U182" s="893" t="str">
        <f t="shared" si="44"/>
        <v/>
      </c>
      <c r="V182" s="683">
        <f t="shared" si="45"/>
        <v>0.17</v>
      </c>
      <c r="W182" s="683">
        <f t="shared" si="46"/>
        <v>0</v>
      </c>
      <c r="X182" s="683" t="str">
        <f t="shared" si="47"/>
        <v/>
      </c>
      <c r="Y182" s="690"/>
      <c r="Z182" s="695"/>
      <c r="AC182" s="5"/>
      <c r="AD182" s="5"/>
      <c r="AE182" s="5"/>
    </row>
    <row r="183" spans="2:31" x14ac:dyDescent="0.25">
      <c r="B183" s="341"/>
      <c r="C183" s="321"/>
      <c r="D183" s="342"/>
      <c r="E183" s="326"/>
      <c r="F183" s="326"/>
      <c r="G183" s="326"/>
      <c r="H183" s="277">
        <f t="shared" si="18"/>
        <v>0</v>
      </c>
      <c r="I183" s="326"/>
      <c r="J183" s="326"/>
      <c r="K183" s="326"/>
      <c r="L183" s="326"/>
      <c r="M183" s="909"/>
      <c r="N183" s="759" t="str">
        <f>IF(I183="","NA",IF(M183="",'Building Data schedule'!$C$14,M183))</f>
        <v>NA</v>
      </c>
      <c r="O183" s="684">
        <f t="shared" si="38"/>
        <v>0</v>
      </c>
      <c r="P183" s="911" t="str">
        <f t="shared" si="39"/>
        <v/>
      </c>
      <c r="Q183" s="910">
        <f t="shared" si="40"/>
        <v>0</v>
      </c>
      <c r="R183" s="683">
        <f t="shared" si="41"/>
        <v>0</v>
      </c>
      <c r="S183" s="897" t="str">
        <f t="shared" si="42"/>
        <v/>
      </c>
      <c r="T183" s="709">
        <f t="shared" si="43"/>
        <v>0</v>
      </c>
      <c r="U183" s="893" t="str">
        <f t="shared" si="44"/>
        <v/>
      </c>
      <c r="V183" s="683">
        <f t="shared" si="45"/>
        <v>0.17</v>
      </c>
      <c r="W183" s="683">
        <f t="shared" si="46"/>
        <v>0</v>
      </c>
      <c r="X183" s="683" t="str">
        <f t="shared" si="47"/>
        <v/>
      </c>
      <c r="Y183" s="690"/>
      <c r="Z183" s="695"/>
      <c r="AC183" s="5"/>
      <c r="AD183" s="5"/>
      <c r="AE183" s="5"/>
    </row>
    <row r="184" spans="2:31" x14ac:dyDescent="0.25">
      <c r="B184" s="341"/>
      <c r="C184" s="321"/>
      <c r="D184" s="342"/>
      <c r="E184" s="326"/>
      <c r="F184" s="326"/>
      <c r="G184" s="326"/>
      <c r="H184" s="277">
        <f t="shared" si="18"/>
        <v>0</v>
      </c>
      <c r="I184" s="326"/>
      <c r="J184" s="326"/>
      <c r="K184" s="326"/>
      <c r="L184" s="326"/>
      <c r="M184" s="909"/>
      <c r="N184" s="759" t="str">
        <f>IF(I184="","NA",IF(M184="",'Building Data schedule'!$C$14,M184))</f>
        <v>NA</v>
      </c>
      <c r="O184" s="684">
        <f t="shared" si="38"/>
        <v>0</v>
      </c>
      <c r="P184" s="911" t="str">
        <f t="shared" si="39"/>
        <v/>
      </c>
      <c r="Q184" s="910">
        <f t="shared" si="40"/>
        <v>0</v>
      </c>
      <c r="R184" s="683">
        <f t="shared" si="41"/>
        <v>0</v>
      </c>
      <c r="S184" s="897" t="str">
        <f t="shared" si="42"/>
        <v/>
      </c>
      <c r="T184" s="709">
        <f t="shared" si="43"/>
        <v>0</v>
      </c>
      <c r="U184" s="893" t="str">
        <f t="shared" si="44"/>
        <v/>
      </c>
      <c r="V184" s="683">
        <f t="shared" si="45"/>
        <v>0.17</v>
      </c>
      <c r="W184" s="683">
        <f t="shared" si="46"/>
        <v>0</v>
      </c>
      <c r="X184" s="683" t="str">
        <f t="shared" si="47"/>
        <v/>
      </c>
      <c r="Y184" s="690"/>
      <c r="Z184" s="695"/>
      <c r="AC184" s="5"/>
      <c r="AD184" s="5"/>
      <c r="AE184" s="5"/>
    </row>
    <row r="185" spans="2:31" x14ac:dyDescent="0.25">
      <c r="B185" s="341"/>
      <c r="C185" s="321"/>
      <c r="D185" s="342"/>
      <c r="E185" s="326"/>
      <c r="F185" s="326"/>
      <c r="G185" s="326"/>
      <c r="H185" s="277">
        <f t="shared" si="18"/>
        <v>0</v>
      </c>
      <c r="I185" s="326"/>
      <c r="J185" s="326"/>
      <c r="K185" s="326"/>
      <c r="L185" s="326"/>
      <c r="M185" s="909"/>
      <c r="N185" s="759" t="str">
        <f>IF(I185="","NA",IF(M185="",'Building Data schedule'!$C$14,M185))</f>
        <v>NA</v>
      </c>
      <c r="O185" s="684">
        <f t="shared" si="38"/>
        <v>0</v>
      </c>
      <c r="P185" s="911" t="str">
        <f t="shared" si="39"/>
        <v/>
      </c>
      <c r="Q185" s="910">
        <f t="shared" si="40"/>
        <v>0</v>
      </c>
      <c r="R185" s="683">
        <f t="shared" si="41"/>
        <v>0</v>
      </c>
      <c r="S185" s="897" t="str">
        <f t="shared" si="42"/>
        <v/>
      </c>
      <c r="T185" s="709">
        <f t="shared" si="43"/>
        <v>0</v>
      </c>
      <c r="U185" s="893" t="str">
        <f t="shared" si="44"/>
        <v/>
      </c>
      <c r="V185" s="683">
        <f t="shared" si="45"/>
        <v>0.17</v>
      </c>
      <c r="W185" s="683">
        <f t="shared" si="46"/>
        <v>0</v>
      </c>
      <c r="X185" s="683" t="str">
        <f t="shared" si="47"/>
        <v/>
      </c>
      <c r="Y185" s="690"/>
      <c r="Z185" s="695"/>
      <c r="AC185" s="5"/>
      <c r="AD185" s="5"/>
      <c r="AE185" s="5"/>
    </row>
    <row r="186" spans="2:31" x14ac:dyDescent="0.25">
      <c r="B186" s="341"/>
      <c r="C186" s="321"/>
      <c r="D186" s="342"/>
      <c r="E186" s="326"/>
      <c r="F186" s="326"/>
      <c r="G186" s="326"/>
      <c r="H186" s="277">
        <f t="shared" si="18"/>
        <v>0</v>
      </c>
      <c r="I186" s="326"/>
      <c r="J186" s="326"/>
      <c r="K186" s="326"/>
      <c r="L186" s="326"/>
      <c r="M186" s="909"/>
      <c r="N186" s="759" t="str">
        <f>IF(I186="","NA",IF(M186="",'Building Data schedule'!$C$14,M186))</f>
        <v>NA</v>
      </c>
      <c r="O186" s="684">
        <f t="shared" si="38"/>
        <v>0</v>
      </c>
      <c r="P186" s="911" t="str">
        <f t="shared" si="39"/>
        <v/>
      </c>
      <c r="Q186" s="910">
        <f t="shared" si="40"/>
        <v>0</v>
      </c>
      <c r="R186" s="683">
        <f t="shared" si="41"/>
        <v>0</v>
      </c>
      <c r="S186" s="897" t="str">
        <f t="shared" si="42"/>
        <v/>
      </c>
      <c r="T186" s="709">
        <f t="shared" si="43"/>
        <v>0</v>
      </c>
      <c r="U186" s="893" t="str">
        <f t="shared" si="44"/>
        <v/>
      </c>
      <c r="V186" s="683">
        <f t="shared" si="45"/>
        <v>0.17</v>
      </c>
      <c r="W186" s="683">
        <f t="shared" si="46"/>
        <v>0</v>
      </c>
      <c r="X186" s="683" t="str">
        <f t="shared" si="47"/>
        <v/>
      </c>
      <c r="Y186" s="690"/>
      <c r="Z186" s="695"/>
      <c r="AC186" s="5"/>
      <c r="AD186" s="5"/>
      <c r="AE186" s="5"/>
    </row>
    <row r="187" spans="2:31" x14ac:dyDescent="0.25">
      <c r="B187" s="341"/>
      <c r="C187" s="321"/>
      <c r="D187" s="342"/>
      <c r="E187" s="326"/>
      <c r="F187" s="326"/>
      <c r="G187" s="326"/>
      <c r="H187" s="277">
        <f>E187*F187*G187</f>
        <v>0</v>
      </c>
      <c r="I187" s="326"/>
      <c r="J187" s="326"/>
      <c r="K187" s="326"/>
      <c r="L187" s="326"/>
      <c r="M187" s="909"/>
      <c r="N187" s="759" t="str">
        <f>IF(I187="","NA",IF(M187="",'Building Data schedule'!$C$14,M187))</f>
        <v>NA</v>
      </c>
      <c r="O187" s="684">
        <f t="shared" si="38"/>
        <v>0</v>
      </c>
      <c r="P187" s="911" t="str">
        <f t="shared" si="39"/>
        <v/>
      </c>
      <c r="Q187" s="910">
        <f t="shared" si="40"/>
        <v>0</v>
      </c>
      <c r="R187" s="683">
        <f t="shared" si="41"/>
        <v>0</v>
      </c>
      <c r="S187" s="897" t="str">
        <f t="shared" si="42"/>
        <v/>
      </c>
      <c r="T187" s="709">
        <f t="shared" si="43"/>
        <v>0</v>
      </c>
      <c r="U187" s="893" t="str">
        <f t="shared" si="44"/>
        <v/>
      </c>
      <c r="V187" s="683">
        <f t="shared" si="45"/>
        <v>0.17</v>
      </c>
      <c r="W187" s="683">
        <f t="shared" si="46"/>
        <v>0</v>
      </c>
      <c r="X187" s="683" t="str">
        <f t="shared" si="47"/>
        <v/>
      </c>
      <c r="Y187" s="690"/>
      <c r="Z187" s="695"/>
      <c r="AC187" s="5"/>
      <c r="AD187" s="5"/>
      <c r="AE187" s="5"/>
    </row>
    <row r="188" spans="2:31" x14ac:dyDescent="0.25">
      <c r="B188" s="341"/>
      <c r="C188" s="321"/>
      <c r="D188" s="342"/>
      <c r="E188" s="326"/>
      <c r="F188" s="326"/>
      <c r="G188" s="326"/>
      <c r="H188" s="277">
        <f>E188*F188*G188</f>
        <v>0</v>
      </c>
      <c r="I188" s="326"/>
      <c r="J188" s="326"/>
      <c r="K188" s="326"/>
      <c r="L188" s="326"/>
      <c r="M188" s="909"/>
      <c r="N188" s="759" t="str">
        <f>IF(I188="","NA",IF(M188="",'Building Data schedule'!$C$14,M188))</f>
        <v>NA</v>
      </c>
      <c r="O188" s="684">
        <f t="shared" si="38"/>
        <v>0</v>
      </c>
      <c r="P188" s="911" t="str">
        <f t="shared" si="39"/>
        <v/>
      </c>
      <c r="Q188" s="910">
        <f t="shared" si="40"/>
        <v>0</v>
      </c>
      <c r="R188" s="683">
        <f t="shared" si="41"/>
        <v>0</v>
      </c>
      <c r="S188" s="897" t="str">
        <f t="shared" si="42"/>
        <v/>
      </c>
      <c r="T188" s="709">
        <f t="shared" si="43"/>
        <v>0</v>
      </c>
      <c r="U188" s="893" t="str">
        <f t="shared" si="44"/>
        <v/>
      </c>
      <c r="V188" s="683">
        <f t="shared" si="45"/>
        <v>0.17</v>
      </c>
      <c r="W188" s="683">
        <f t="shared" si="46"/>
        <v>0</v>
      </c>
      <c r="X188" s="683" t="str">
        <f t="shared" si="47"/>
        <v/>
      </c>
      <c r="Y188" s="690"/>
      <c r="Z188" s="695"/>
      <c r="AC188" s="8"/>
      <c r="AD188" s="5"/>
      <c r="AE188" s="5"/>
    </row>
    <row r="189" spans="2:31" x14ac:dyDescent="0.25">
      <c r="B189" s="341"/>
      <c r="C189" s="321"/>
      <c r="D189" s="342"/>
      <c r="E189" s="326"/>
      <c r="F189" s="326"/>
      <c r="G189" s="326"/>
      <c r="H189" s="277">
        <f t="shared" ref="H189:H196" si="55">E189*F189*G189</f>
        <v>0</v>
      </c>
      <c r="I189" s="326"/>
      <c r="J189" s="326"/>
      <c r="K189" s="326"/>
      <c r="L189" s="326"/>
      <c r="M189" s="909"/>
      <c r="N189" s="759" t="str">
        <f>IF(I189="","NA",IF(M189="",'Building Data schedule'!$C$14,M189))</f>
        <v>NA</v>
      </c>
      <c r="O189" s="684">
        <f t="shared" si="38"/>
        <v>0</v>
      </c>
      <c r="P189" s="911" t="str">
        <f t="shared" si="39"/>
        <v/>
      </c>
      <c r="Q189" s="910">
        <f t="shared" si="40"/>
        <v>0</v>
      </c>
      <c r="R189" s="683">
        <f t="shared" si="41"/>
        <v>0</v>
      </c>
      <c r="S189" s="897" t="str">
        <f t="shared" si="42"/>
        <v/>
      </c>
      <c r="T189" s="709">
        <f t="shared" si="43"/>
        <v>0</v>
      </c>
      <c r="U189" s="893" t="str">
        <f t="shared" si="44"/>
        <v/>
      </c>
      <c r="V189" s="683">
        <f t="shared" si="45"/>
        <v>0.17</v>
      </c>
      <c r="W189" s="683">
        <f t="shared" si="46"/>
        <v>0</v>
      </c>
      <c r="X189" s="683" t="str">
        <f t="shared" si="47"/>
        <v/>
      </c>
      <c r="Y189" s="690"/>
      <c r="Z189" s="695"/>
      <c r="AC189" s="8"/>
      <c r="AD189" s="5"/>
      <c r="AE189" s="5"/>
    </row>
    <row r="190" spans="2:31" x14ac:dyDescent="0.25">
      <c r="B190" s="341"/>
      <c r="C190" s="321"/>
      <c r="D190" s="342"/>
      <c r="E190" s="326"/>
      <c r="F190" s="326"/>
      <c r="G190" s="326"/>
      <c r="H190" s="277">
        <f t="shared" si="55"/>
        <v>0</v>
      </c>
      <c r="I190" s="326"/>
      <c r="J190" s="326"/>
      <c r="K190" s="326"/>
      <c r="L190" s="326"/>
      <c r="M190" s="909"/>
      <c r="N190" s="759" t="str">
        <f>IF(I190="","NA",IF(M190="",'Building Data schedule'!$C$14,M190))</f>
        <v>NA</v>
      </c>
      <c r="O190" s="684">
        <f t="shared" si="38"/>
        <v>0</v>
      </c>
      <c r="P190" s="911" t="str">
        <f t="shared" si="39"/>
        <v/>
      </c>
      <c r="Q190" s="910">
        <f t="shared" si="40"/>
        <v>0</v>
      </c>
      <c r="R190" s="683">
        <f t="shared" si="41"/>
        <v>0</v>
      </c>
      <c r="S190" s="897" t="str">
        <f t="shared" si="42"/>
        <v/>
      </c>
      <c r="T190" s="709">
        <f t="shared" si="43"/>
        <v>0</v>
      </c>
      <c r="U190" s="893" t="str">
        <f t="shared" si="44"/>
        <v/>
      </c>
      <c r="V190" s="683">
        <f t="shared" si="45"/>
        <v>0.17</v>
      </c>
      <c r="W190" s="683">
        <f t="shared" si="46"/>
        <v>0</v>
      </c>
      <c r="X190" s="683" t="str">
        <f t="shared" si="47"/>
        <v/>
      </c>
      <c r="Y190" s="690"/>
      <c r="Z190" s="695"/>
      <c r="AC190" s="8"/>
      <c r="AD190" s="5"/>
      <c r="AE190" s="5"/>
    </row>
    <row r="191" spans="2:31" x14ac:dyDescent="0.25">
      <c r="B191" s="341"/>
      <c r="C191" s="321"/>
      <c r="D191" s="342"/>
      <c r="E191" s="326"/>
      <c r="F191" s="326"/>
      <c r="G191" s="326"/>
      <c r="H191" s="277">
        <f t="shared" si="55"/>
        <v>0</v>
      </c>
      <c r="I191" s="326"/>
      <c r="J191" s="326"/>
      <c r="K191" s="326"/>
      <c r="L191" s="326"/>
      <c r="M191" s="909"/>
      <c r="N191" s="759" t="str">
        <f>IF(I191="","NA",IF(M191="",'Building Data schedule'!$C$14,M191))</f>
        <v>NA</v>
      </c>
      <c r="O191" s="684">
        <f t="shared" si="38"/>
        <v>0</v>
      </c>
      <c r="P191" s="911" t="str">
        <f t="shared" si="39"/>
        <v/>
      </c>
      <c r="Q191" s="910">
        <f t="shared" si="40"/>
        <v>0</v>
      </c>
      <c r="R191" s="683">
        <f t="shared" si="41"/>
        <v>0</v>
      </c>
      <c r="S191" s="897" t="str">
        <f t="shared" si="42"/>
        <v/>
      </c>
      <c r="T191" s="709">
        <f t="shared" si="43"/>
        <v>0</v>
      </c>
      <c r="U191" s="893" t="str">
        <f t="shared" si="44"/>
        <v/>
      </c>
      <c r="V191" s="683">
        <f t="shared" si="45"/>
        <v>0.17</v>
      </c>
      <c r="W191" s="683">
        <f t="shared" si="46"/>
        <v>0</v>
      </c>
      <c r="X191" s="683" t="str">
        <f t="shared" si="47"/>
        <v/>
      </c>
      <c r="Y191" s="690"/>
      <c r="Z191" s="695"/>
      <c r="AC191" s="8"/>
      <c r="AD191" s="5"/>
      <c r="AE191" s="5"/>
    </row>
    <row r="192" spans="2:31" x14ac:dyDescent="0.25">
      <c r="B192" s="341"/>
      <c r="C192" s="321"/>
      <c r="D192" s="342"/>
      <c r="E192" s="326"/>
      <c r="F192" s="326"/>
      <c r="G192" s="326"/>
      <c r="H192" s="277">
        <f t="shared" si="55"/>
        <v>0</v>
      </c>
      <c r="I192" s="326"/>
      <c r="J192" s="326"/>
      <c r="K192" s="326"/>
      <c r="L192" s="326"/>
      <c r="M192" s="909"/>
      <c r="N192" s="759" t="str">
        <f>IF(I192="","NA",IF(M192="",'Building Data schedule'!$C$14,M192))</f>
        <v>NA</v>
      </c>
      <c r="O192" s="684">
        <f t="shared" si="38"/>
        <v>0</v>
      </c>
      <c r="P192" s="911" t="str">
        <f t="shared" si="39"/>
        <v/>
      </c>
      <c r="Q192" s="910">
        <f t="shared" si="40"/>
        <v>0</v>
      </c>
      <c r="R192" s="683">
        <f t="shared" si="41"/>
        <v>0</v>
      </c>
      <c r="S192" s="897" t="str">
        <f t="shared" si="42"/>
        <v/>
      </c>
      <c r="T192" s="709">
        <f t="shared" si="43"/>
        <v>0</v>
      </c>
      <c r="U192" s="893" t="str">
        <f t="shared" si="44"/>
        <v/>
      </c>
      <c r="V192" s="683">
        <f t="shared" si="45"/>
        <v>0.17</v>
      </c>
      <c r="W192" s="683">
        <f t="shared" si="46"/>
        <v>0</v>
      </c>
      <c r="X192" s="683" t="str">
        <f t="shared" si="47"/>
        <v/>
      </c>
      <c r="Y192" s="690"/>
      <c r="Z192" s="695"/>
      <c r="AC192" s="5"/>
      <c r="AD192" s="5"/>
      <c r="AE192" s="5"/>
    </row>
    <row r="193" spans="2:31" x14ac:dyDescent="0.25">
      <c r="B193" s="341"/>
      <c r="C193" s="321"/>
      <c r="D193" s="342"/>
      <c r="E193" s="326"/>
      <c r="F193" s="326"/>
      <c r="G193" s="326"/>
      <c r="H193" s="277">
        <f t="shared" si="55"/>
        <v>0</v>
      </c>
      <c r="I193" s="326"/>
      <c r="J193" s="326"/>
      <c r="K193" s="326"/>
      <c r="L193" s="326"/>
      <c r="M193" s="909"/>
      <c r="N193" s="759" t="str">
        <f>IF(I193="","NA",IF(M193="",'Building Data schedule'!$C$14,M193))</f>
        <v>NA</v>
      </c>
      <c r="O193" s="684">
        <f t="shared" si="38"/>
        <v>0</v>
      </c>
      <c r="P193" s="911" t="str">
        <f t="shared" si="39"/>
        <v/>
      </c>
      <c r="Q193" s="910">
        <f t="shared" si="40"/>
        <v>0</v>
      </c>
      <c r="R193" s="683">
        <f t="shared" si="41"/>
        <v>0</v>
      </c>
      <c r="S193" s="897" t="str">
        <f t="shared" si="42"/>
        <v/>
      </c>
      <c r="T193" s="709">
        <f t="shared" si="43"/>
        <v>0</v>
      </c>
      <c r="U193" s="893" t="str">
        <f t="shared" si="44"/>
        <v/>
      </c>
      <c r="V193" s="683">
        <f t="shared" si="45"/>
        <v>0.17</v>
      </c>
      <c r="W193" s="683">
        <f t="shared" si="46"/>
        <v>0</v>
      </c>
      <c r="X193" s="683" t="str">
        <f t="shared" si="47"/>
        <v/>
      </c>
      <c r="Y193" s="690"/>
      <c r="Z193" s="695"/>
      <c r="AC193" s="5"/>
      <c r="AD193" s="5"/>
      <c r="AE193" s="5"/>
    </row>
    <row r="194" spans="2:31" x14ac:dyDescent="0.25">
      <c r="B194" s="341"/>
      <c r="C194" s="321"/>
      <c r="D194" s="342"/>
      <c r="E194" s="326"/>
      <c r="F194" s="326"/>
      <c r="G194" s="326"/>
      <c r="H194" s="277">
        <f t="shared" si="55"/>
        <v>0</v>
      </c>
      <c r="I194" s="326"/>
      <c r="J194" s="326"/>
      <c r="K194" s="326"/>
      <c r="L194" s="326"/>
      <c r="M194" s="909"/>
      <c r="N194" s="759" t="str">
        <f>IF(I194="","NA",IF(M194="",'Building Data schedule'!$C$14,M194))</f>
        <v>NA</v>
      </c>
      <c r="O194" s="684">
        <f t="shared" si="38"/>
        <v>0</v>
      </c>
      <c r="P194" s="911" t="str">
        <f t="shared" si="39"/>
        <v/>
      </c>
      <c r="Q194" s="910">
        <f t="shared" si="40"/>
        <v>0</v>
      </c>
      <c r="R194" s="683">
        <f t="shared" si="41"/>
        <v>0</v>
      </c>
      <c r="S194" s="897" t="str">
        <f t="shared" si="42"/>
        <v/>
      </c>
      <c r="T194" s="709">
        <f t="shared" si="43"/>
        <v>0</v>
      </c>
      <c r="U194" s="893" t="str">
        <f t="shared" si="44"/>
        <v/>
      </c>
      <c r="V194" s="683">
        <f t="shared" si="45"/>
        <v>0.17</v>
      </c>
      <c r="W194" s="683">
        <f t="shared" si="46"/>
        <v>0</v>
      </c>
      <c r="X194" s="683" t="str">
        <f t="shared" si="47"/>
        <v/>
      </c>
      <c r="Y194" s="690"/>
      <c r="Z194" s="695"/>
      <c r="AC194" s="5"/>
      <c r="AD194" s="5"/>
      <c r="AE194" s="5"/>
    </row>
    <row r="195" spans="2:31" x14ac:dyDescent="0.25">
      <c r="B195" s="341"/>
      <c r="C195" s="321"/>
      <c r="D195" s="342"/>
      <c r="E195" s="326"/>
      <c r="F195" s="326"/>
      <c r="G195" s="326"/>
      <c r="H195" s="277">
        <f t="shared" si="55"/>
        <v>0</v>
      </c>
      <c r="I195" s="326"/>
      <c r="J195" s="326"/>
      <c r="K195" s="326"/>
      <c r="L195" s="326"/>
      <c r="M195" s="909"/>
      <c r="N195" s="759" t="str">
        <f>IF(I195="","NA",IF(M195="",'Building Data schedule'!$C$14,M195))</f>
        <v>NA</v>
      </c>
      <c r="O195" s="684">
        <f t="shared" si="38"/>
        <v>0</v>
      </c>
      <c r="P195" s="911" t="str">
        <f t="shared" si="39"/>
        <v/>
      </c>
      <c r="Q195" s="910">
        <f t="shared" si="40"/>
        <v>0</v>
      </c>
      <c r="R195" s="683">
        <f t="shared" si="41"/>
        <v>0</v>
      </c>
      <c r="S195" s="897" t="str">
        <f t="shared" si="42"/>
        <v/>
      </c>
      <c r="T195" s="709">
        <f t="shared" si="43"/>
        <v>0</v>
      </c>
      <c r="U195" s="893" t="str">
        <f t="shared" si="44"/>
        <v/>
      </c>
      <c r="V195" s="683">
        <f t="shared" si="45"/>
        <v>0.17</v>
      </c>
      <c r="W195" s="683">
        <f t="shared" si="46"/>
        <v>0</v>
      </c>
      <c r="X195" s="683" t="str">
        <f t="shared" si="47"/>
        <v/>
      </c>
      <c r="Y195" s="690"/>
      <c r="Z195" s="695"/>
      <c r="AC195" s="5"/>
      <c r="AD195" s="5"/>
      <c r="AE195" s="5"/>
    </row>
    <row r="196" spans="2:31" x14ac:dyDescent="0.25">
      <c r="B196" s="341"/>
      <c r="C196" s="321"/>
      <c r="D196" s="342"/>
      <c r="E196" s="326"/>
      <c r="F196" s="326"/>
      <c r="G196" s="326"/>
      <c r="H196" s="277">
        <f t="shared" si="55"/>
        <v>0</v>
      </c>
      <c r="I196" s="326"/>
      <c r="J196" s="326"/>
      <c r="K196" s="326"/>
      <c r="L196" s="326"/>
      <c r="M196" s="909"/>
      <c r="N196" s="759" t="str">
        <f>IF(I196="","NA",IF(M196="",'Building Data schedule'!$C$14,M196))</f>
        <v>NA</v>
      </c>
      <c r="O196" s="684">
        <f t="shared" si="38"/>
        <v>0</v>
      </c>
      <c r="P196" s="911" t="str">
        <f t="shared" si="39"/>
        <v/>
      </c>
      <c r="Q196" s="910">
        <f t="shared" si="40"/>
        <v>0</v>
      </c>
      <c r="R196" s="683">
        <f t="shared" si="41"/>
        <v>0</v>
      </c>
      <c r="S196" s="897" t="str">
        <f t="shared" si="42"/>
        <v/>
      </c>
      <c r="T196" s="709">
        <f t="shared" si="43"/>
        <v>0</v>
      </c>
      <c r="U196" s="893" t="str">
        <f t="shared" si="44"/>
        <v/>
      </c>
      <c r="V196" s="683">
        <f t="shared" si="45"/>
        <v>0.17</v>
      </c>
      <c r="W196" s="683">
        <f t="shared" si="46"/>
        <v>0</v>
      </c>
      <c r="X196" s="683" t="str">
        <f t="shared" si="47"/>
        <v/>
      </c>
      <c r="Y196" s="690"/>
      <c r="Z196" s="695"/>
      <c r="AC196" s="5"/>
      <c r="AD196" s="5"/>
      <c r="AE196" s="5"/>
    </row>
    <row r="197" spans="2:31" x14ac:dyDescent="0.25">
      <c r="B197" s="341"/>
      <c r="C197" s="321"/>
      <c r="D197" s="342"/>
      <c r="E197" s="326"/>
      <c r="F197" s="326"/>
      <c r="G197" s="326"/>
      <c r="H197" s="277">
        <f>E197*F197*G197</f>
        <v>0</v>
      </c>
      <c r="I197" s="326"/>
      <c r="J197" s="326"/>
      <c r="K197" s="326"/>
      <c r="L197" s="326"/>
      <c r="M197" s="909"/>
      <c r="N197" s="759" t="str">
        <f>IF(I197="","NA",IF(M197="",'Building Data schedule'!$C$14,M197))</f>
        <v>NA</v>
      </c>
      <c r="O197" s="684">
        <f t="shared" si="38"/>
        <v>0</v>
      </c>
      <c r="P197" s="911" t="str">
        <f t="shared" si="39"/>
        <v/>
      </c>
      <c r="Q197" s="910">
        <f t="shared" si="40"/>
        <v>0</v>
      </c>
      <c r="R197" s="683">
        <f t="shared" si="41"/>
        <v>0</v>
      </c>
      <c r="S197" s="897" t="str">
        <f t="shared" si="42"/>
        <v/>
      </c>
      <c r="T197" s="709">
        <f t="shared" si="43"/>
        <v>0</v>
      </c>
      <c r="U197" s="893" t="str">
        <f t="shared" si="44"/>
        <v/>
      </c>
      <c r="V197" s="683">
        <f t="shared" si="45"/>
        <v>0.17</v>
      </c>
      <c r="W197" s="683">
        <f t="shared" si="46"/>
        <v>0</v>
      </c>
      <c r="X197" s="683" t="str">
        <f t="shared" si="47"/>
        <v/>
      </c>
      <c r="Y197" s="690"/>
      <c r="Z197" s="695"/>
      <c r="AC197" s="5"/>
      <c r="AD197" s="5"/>
      <c r="AE197" s="5"/>
    </row>
    <row r="198" spans="2:31" x14ac:dyDescent="0.25">
      <c r="B198" s="341"/>
      <c r="C198" s="321"/>
      <c r="D198" s="342"/>
      <c r="E198" s="326"/>
      <c r="F198" s="326"/>
      <c r="G198" s="326"/>
      <c r="H198" s="277">
        <f t="shared" ref="H198:H205" si="56">E198*F198*G198</f>
        <v>0</v>
      </c>
      <c r="I198" s="326"/>
      <c r="J198" s="326"/>
      <c r="K198" s="326"/>
      <c r="L198" s="326"/>
      <c r="M198" s="909"/>
      <c r="N198" s="759" t="str">
        <f>IF(I198="","NA",IF(M198="",'Building Data schedule'!$C$14,M198))</f>
        <v>NA</v>
      </c>
      <c r="O198" s="684">
        <f t="shared" si="38"/>
        <v>0</v>
      </c>
      <c r="P198" s="911" t="str">
        <f t="shared" si="39"/>
        <v/>
      </c>
      <c r="Q198" s="910">
        <f t="shared" si="40"/>
        <v>0</v>
      </c>
      <c r="R198" s="683">
        <f t="shared" si="41"/>
        <v>0</v>
      </c>
      <c r="S198" s="897" t="str">
        <f t="shared" si="42"/>
        <v/>
      </c>
      <c r="T198" s="709">
        <f t="shared" si="43"/>
        <v>0</v>
      </c>
      <c r="U198" s="893" t="str">
        <f t="shared" si="44"/>
        <v/>
      </c>
      <c r="V198" s="683">
        <f t="shared" si="45"/>
        <v>0.17</v>
      </c>
      <c r="W198" s="683">
        <f t="shared" si="46"/>
        <v>0</v>
      </c>
      <c r="X198" s="683" t="str">
        <f t="shared" si="47"/>
        <v/>
      </c>
      <c r="Y198" s="690"/>
      <c r="Z198" s="695"/>
      <c r="AC198" s="8"/>
      <c r="AD198" s="5"/>
      <c r="AE198" s="5"/>
    </row>
    <row r="199" spans="2:31" x14ac:dyDescent="0.25">
      <c r="B199" s="341"/>
      <c r="C199" s="321"/>
      <c r="D199" s="342"/>
      <c r="E199" s="326"/>
      <c r="F199" s="326"/>
      <c r="G199" s="326"/>
      <c r="H199" s="277">
        <f t="shared" si="56"/>
        <v>0</v>
      </c>
      <c r="I199" s="326"/>
      <c r="J199" s="326"/>
      <c r="K199" s="326"/>
      <c r="L199" s="326"/>
      <c r="M199" s="909"/>
      <c r="N199" s="759" t="str">
        <f>IF(I199="","NA",IF(M199="",'Building Data schedule'!$C$14,M199))</f>
        <v>NA</v>
      </c>
      <c r="O199" s="684">
        <f t="shared" si="38"/>
        <v>0</v>
      </c>
      <c r="P199" s="911" t="str">
        <f t="shared" si="39"/>
        <v/>
      </c>
      <c r="Q199" s="910">
        <f t="shared" si="40"/>
        <v>0</v>
      </c>
      <c r="R199" s="683">
        <f t="shared" si="41"/>
        <v>0</v>
      </c>
      <c r="S199" s="897" t="str">
        <f t="shared" si="42"/>
        <v/>
      </c>
      <c r="T199" s="709">
        <f t="shared" si="43"/>
        <v>0</v>
      </c>
      <c r="U199" s="893" t="str">
        <f t="shared" si="44"/>
        <v/>
      </c>
      <c r="V199" s="683">
        <f t="shared" si="45"/>
        <v>0.17</v>
      </c>
      <c r="W199" s="683">
        <f t="shared" si="46"/>
        <v>0</v>
      </c>
      <c r="X199" s="683" t="str">
        <f t="shared" si="47"/>
        <v/>
      </c>
      <c r="Y199" s="690"/>
      <c r="Z199" s="695"/>
      <c r="AC199" s="8"/>
      <c r="AD199" s="5"/>
      <c r="AE199" s="5"/>
    </row>
    <row r="200" spans="2:31" x14ac:dyDescent="0.25">
      <c r="B200" s="341"/>
      <c r="C200" s="321"/>
      <c r="D200" s="342"/>
      <c r="E200" s="326"/>
      <c r="F200" s="326"/>
      <c r="G200" s="326"/>
      <c r="H200" s="277">
        <f t="shared" si="56"/>
        <v>0</v>
      </c>
      <c r="I200" s="326"/>
      <c r="J200" s="326"/>
      <c r="K200" s="326"/>
      <c r="L200" s="326"/>
      <c r="M200" s="909"/>
      <c r="N200" s="759" t="str">
        <f>IF(I200="","NA",IF(M200="",'Building Data schedule'!$C$14,M200))</f>
        <v>NA</v>
      </c>
      <c r="O200" s="684">
        <f t="shared" ref="O200:O206" si="57">IF(I200=0,0,K200/I200)</f>
        <v>0</v>
      </c>
      <c r="P200" s="911" t="str">
        <f t="shared" ref="P200:P206" si="58">IFERROR(K200*N200*52/1000,"")</f>
        <v/>
      </c>
      <c r="Q200" s="910">
        <f t="shared" ref="Q200:Q206" si="59">IF(K200&lt;4000,O200,$AD$7)</f>
        <v>0</v>
      </c>
      <c r="R200" s="683">
        <f t="shared" ref="R200:R206" si="60">Q200*H200</f>
        <v>0</v>
      </c>
      <c r="S200" s="897" t="str">
        <f t="shared" ref="S200:S206" si="61">IFERROR(R200*N200*52/1000,"")</f>
        <v/>
      </c>
      <c r="T200" s="709">
        <f t="shared" ref="T200:T206" si="62">IF(I200=0,0,L200/I200)</f>
        <v>0</v>
      </c>
      <c r="U200" s="893" t="str">
        <f t="shared" ref="U200:U206" si="63">IFERROR(L200*N200*52/1000,"")</f>
        <v/>
      </c>
      <c r="V200" s="683">
        <f t="shared" ref="V200:V206" si="64">IF(K200&lt;4000,IF(T200&lt;$AE$8,$AE$8,T200),($AE$7+Y200/2340))</f>
        <v>0.17</v>
      </c>
      <c r="W200" s="683">
        <f t="shared" ref="W200:W206" si="65">V200*H200</f>
        <v>0</v>
      </c>
      <c r="X200" s="683" t="str">
        <f t="shared" ref="X200:X206" si="66">IFERROR(W200*N200*52/1000,"")</f>
        <v/>
      </c>
      <c r="Y200" s="690"/>
      <c r="Z200" s="695"/>
      <c r="AC200" s="8"/>
      <c r="AD200" s="5"/>
      <c r="AE200" s="5"/>
    </row>
    <row r="201" spans="2:31" x14ac:dyDescent="0.25">
      <c r="B201" s="341"/>
      <c r="C201" s="321"/>
      <c r="D201" s="342"/>
      <c r="E201" s="326"/>
      <c r="F201" s="326"/>
      <c r="G201" s="326"/>
      <c r="H201" s="277">
        <f t="shared" si="56"/>
        <v>0</v>
      </c>
      <c r="I201" s="326"/>
      <c r="J201" s="326"/>
      <c r="K201" s="326"/>
      <c r="L201" s="326"/>
      <c r="M201" s="909"/>
      <c r="N201" s="759" t="str">
        <f>IF(I201="","NA",IF(M201="",'Building Data schedule'!$C$14,M201))</f>
        <v>NA</v>
      </c>
      <c r="O201" s="684">
        <f t="shared" si="57"/>
        <v>0</v>
      </c>
      <c r="P201" s="911" t="str">
        <f t="shared" si="58"/>
        <v/>
      </c>
      <c r="Q201" s="910">
        <f t="shared" si="59"/>
        <v>0</v>
      </c>
      <c r="R201" s="683">
        <f t="shared" si="60"/>
        <v>0</v>
      </c>
      <c r="S201" s="897" t="str">
        <f t="shared" si="61"/>
        <v/>
      </c>
      <c r="T201" s="709">
        <f t="shared" si="62"/>
        <v>0</v>
      </c>
      <c r="U201" s="893" t="str">
        <f t="shared" si="63"/>
        <v/>
      </c>
      <c r="V201" s="683">
        <f t="shared" si="64"/>
        <v>0.17</v>
      </c>
      <c r="W201" s="683">
        <f t="shared" si="65"/>
        <v>0</v>
      </c>
      <c r="X201" s="683" t="str">
        <f t="shared" si="66"/>
        <v/>
      </c>
      <c r="Y201" s="690"/>
      <c r="Z201" s="695"/>
      <c r="AC201" s="5"/>
      <c r="AD201" s="5"/>
      <c r="AE201" s="5"/>
    </row>
    <row r="202" spans="2:31" x14ac:dyDescent="0.25">
      <c r="B202" s="341"/>
      <c r="C202" s="321"/>
      <c r="D202" s="342"/>
      <c r="E202" s="326"/>
      <c r="F202" s="326"/>
      <c r="G202" s="326"/>
      <c r="H202" s="277">
        <f t="shared" si="56"/>
        <v>0</v>
      </c>
      <c r="I202" s="326"/>
      <c r="J202" s="326"/>
      <c r="K202" s="326"/>
      <c r="L202" s="326"/>
      <c r="M202" s="909"/>
      <c r="N202" s="759" t="str">
        <f>IF(I202="","NA",IF(M202="",'Building Data schedule'!$C$14,M202))</f>
        <v>NA</v>
      </c>
      <c r="O202" s="684">
        <f t="shared" si="57"/>
        <v>0</v>
      </c>
      <c r="P202" s="911" t="str">
        <f t="shared" si="58"/>
        <v/>
      </c>
      <c r="Q202" s="910">
        <f t="shared" si="59"/>
        <v>0</v>
      </c>
      <c r="R202" s="683">
        <f t="shared" si="60"/>
        <v>0</v>
      </c>
      <c r="S202" s="897" t="str">
        <f t="shared" si="61"/>
        <v/>
      </c>
      <c r="T202" s="709">
        <f t="shared" si="62"/>
        <v>0</v>
      </c>
      <c r="U202" s="893" t="str">
        <f t="shared" si="63"/>
        <v/>
      </c>
      <c r="V202" s="683">
        <f t="shared" si="64"/>
        <v>0.17</v>
      </c>
      <c r="W202" s="683">
        <f t="shared" si="65"/>
        <v>0</v>
      </c>
      <c r="X202" s="683" t="str">
        <f t="shared" si="66"/>
        <v/>
      </c>
      <c r="Y202" s="690"/>
      <c r="Z202" s="695"/>
      <c r="AC202" s="5"/>
      <c r="AD202" s="5"/>
      <c r="AE202" s="5"/>
    </row>
    <row r="203" spans="2:31" x14ac:dyDescent="0.25">
      <c r="B203" s="341"/>
      <c r="C203" s="321"/>
      <c r="D203" s="342"/>
      <c r="E203" s="326"/>
      <c r="F203" s="326"/>
      <c r="G203" s="326"/>
      <c r="H203" s="277">
        <f t="shared" si="56"/>
        <v>0</v>
      </c>
      <c r="I203" s="326"/>
      <c r="J203" s="326"/>
      <c r="K203" s="326"/>
      <c r="L203" s="326"/>
      <c r="M203" s="909"/>
      <c r="N203" s="759" t="str">
        <f>IF(I203="","NA",IF(M203="",'Building Data schedule'!$C$14,M203))</f>
        <v>NA</v>
      </c>
      <c r="O203" s="684">
        <f t="shared" si="57"/>
        <v>0</v>
      </c>
      <c r="P203" s="911" t="str">
        <f t="shared" si="58"/>
        <v/>
      </c>
      <c r="Q203" s="910">
        <f t="shared" si="59"/>
        <v>0</v>
      </c>
      <c r="R203" s="683">
        <f t="shared" si="60"/>
        <v>0</v>
      </c>
      <c r="S203" s="897" t="str">
        <f t="shared" si="61"/>
        <v/>
      </c>
      <c r="T203" s="709">
        <f t="shared" si="62"/>
        <v>0</v>
      </c>
      <c r="U203" s="893" t="str">
        <f t="shared" si="63"/>
        <v/>
      </c>
      <c r="V203" s="683">
        <f t="shared" si="64"/>
        <v>0.17</v>
      </c>
      <c r="W203" s="683">
        <f t="shared" si="65"/>
        <v>0</v>
      </c>
      <c r="X203" s="683" t="str">
        <f t="shared" si="66"/>
        <v/>
      </c>
      <c r="Y203" s="690"/>
      <c r="Z203" s="695"/>
      <c r="AC203" s="5"/>
      <c r="AD203" s="5"/>
      <c r="AE203" s="5"/>
    </row>
    <row r="204" spans="2:31" x14ac:dyDescent="0.25">
      <c r="B204" s="341"/>
      <c r="C204" s="321"/>
      <c r="D204" s="342"/>
      <c r="E204" s="326"/>
      <c r="F204" s="326"/>
      <c r="G204" s="326"/>
      <c r="H204" s="277">
        <f t="shared" si="56"/>
        <v>0</v>
      </c>
      <c r="I204" s="326"/>
      <c r="J204" s="326"/>
      <c r="K204" s="326"/>
      <c r="L204" s="326"/>
      <c r="M204" s="909"/>
      <c r="N204" s="759" t="str">
        <f>IF(I204="","NA",IF(M204="",'Building Data schedule'!$C$14,M204))</f>
        <v>NA</v>
      </c>
      <c r="O204" s="684">
        <f t="shared" si="57"/>
        <v>0</v>
      </c>
      <c r="P204" s="911" t="str">
        <f t="shared" si="58"/>
        <v/>
      </c>
      <c r="Q204" s="910">
        <f t="shared" si="59"/>
        <v>0</v>
      </c>
      <c r="R204" s="683">
        <f t="shared" si="60"/>
        <v>0</v>
      </c>
      <c r="S204" s="897" t="str">
        <f t="shared" si="61"/>
        <v/>
      </c>
      <c r="T204" s="709">
        <f t="shared" si="62"/>
        <v>0</v>
      </c>
      <c r="U204" s="893" t="str">
        <f t="shared" si="63"/>
        <v/>
      </c>
      <c r="V204" s="683">
        <f t="shared" si="64"/>
        <v>0.17</v>
      </c>
      <c r="W204" s="683">
        <f t="shared" si="65"/>
        <v>0</v>
      </c>
      <c r="X204" s="683" t="str">
        <f t="shared" si="66"/>
        <v/>
      </c>
      <c r="Y204" s="690"/>
      <c r="Z204" s="695"/>
      <c r="AC204" s="5"/>
      <c r="AD204" s="5"/>
      <c r="AE204" s="5"/>
    </row>
    <row r="205" spans="2:31" x14ac:dyDescent="0.25">
      <c r="B205" s="341"/>
      <c r="C205" s="321"/>
      <c r="D205" s="342"/>
      <c r="E205" s="326"/>
      <c r="F205" s="326"/>
      <c r="G205" s="326"/>
      <c r="H205" s="277">
        <f t="shared" si="56"/>
        <v>0</v>
      </c>
      <c r="I205" s="326"/>
      <c r="J205" s="326"/>
      <c r="K205" s="326"/>
      <c r="L205" s="326"/>
      <c r="M205" s="909"/>
      <c r="N205" s="759" t="str">
        <f>IF(I205="","NA",IF(M205="",'Building Data schedule'!$C$14,M205))</f>
        <v>NA</v>
      </c>
      <c r="O205" s="684">
        <f t="shared" si="57"/>
        <v>0</v>
      </c>
      <c r="P205" s="911" t="str">
        <f t="shared" si="58"/>
        <v/>
      </c>
      <c r="Q205" s="910">
        <f t="shared" si="59"/>
        <v>0</v>
      </c>
      <c r="R205" s="683">
        <f t="shared" si="60"/>
        <v>0</v>
      </c>
      <c r="S205" s="897" t="str">
        <f t="shared" si="61"/>
        <v/>
      </c>
      <c r="T205" s="709">
        <f t="shared" si="62"/>
        <v>0</v>
      </c>
      <c r="U205" s="893" t="str">
        <f t="shared" si="63"/>
        <v/>
      </c>
      <c r="V205" s="683">
        <f t="shared" si="64"/>
        <v>0.17</v>
      </c>
      <c r="W205" s="683">
        <f t="shared" si="65"/>
        <v>0</v>
      </c>
      <c r="X205" s="683" t="str">
        <f t="shared" si="66"/>
        <v/>
      </c>
      <c r="Y205" s="690"/>
      <c r="Z205" s="695"/>
      <c r="AC205" s="5"/>
      <c r="AD205" s="5"/>
      <c r="AE205" s="5"/>
    </row>
    <row r="206" spans="2:31" ht="15.75" thickBot="1" x14ac:dyDescent="0.3">
      <c r="B206" s="343"/>
      <c r="C206" s="344"/>
      <c r="D206" s="345"/>
      <c r="E206" s="346"/>
      <c r="F206" s="346"/>
      <c r="G206" s="346"/>
      <c r="H206" s="278">
        <f>E206*F206*G206</f>
        <v>0</v>
      </c>
      <c r="I206" s="346"/>
      <c r="J206" s="346"/>
      <c r="K206" s="346"/>
      <c r="L206" s="346"/>
      <c r="M206" s="918"/>
      <c r="N206" s="919" t="str">
        <f>IF(I206="","NA",IF(M206="",'Building Data schedule'!$C$14,M206))</f>
        <v>NA</v>
      </c>
      <c r="O206" s="685">
        <f t="shared" si="57"/>
        <v>0</v>
      </c>
      <c r="P206" s="921" t="str">
        <f t="shared" si="58"/>
        <v/>
      </c>
      <c r="Q206" s="916">
        <f t="shared" si="59"/>
        <v>0</v>
      </c>
      <c r="R206" s="686">
        <f t="shared" si="60"/>
        <v>0</v>
      </c>
      <c r="S206" s="899" t="str">
        <f t="shared" si="61"/>
        <v/>
      </c>
      <c r="T206" s="710">
        <f t="shared" si="62"/>
        <v>0</v>
      </c>
      <c r="U206" s="901" t="str">
        <f t="shared" si="63"/>
        <v/>
      </c>
      <c r="V206" s="686">
        <f t="shared" si="64"/>
        <v>0.17</v>
      </c>
      <c r="W206" s="686">
        <f t="shared" si="65"/>
        <v>0</v>
      </c>
      <c r="X206" s="686" t="str">
        <f t="shared" si="66"/>
        <v/>
      </c>
      <c r="Y206" s="691"/>
      <c r="Z206" s="908"/>
      <c r="AC206" s="5"/>
      <c r="AD206" s="5"/>
      <c r="AE206" s="5"/>
    </row>
    <row r="207" spans="2:31" ht="11.25" customHeight="1" thickBot="1" x14ac:dyDescent="0.3">
      <c r="B207" s="1168"/>
      <c r="C207" s="1169"/>
      <c r="D207" s="230"/>
      <c r="E207" s="230"/>
      <c r="F207" s="230"/>
      <c r="G207" s="230"/>
      <c r="H207" s="230"/>
      <c r="I207" s="230"/>
      <c r="J207" s="230"/>
      <c r="K207" s="230"/>
      <c r="L207" s="230"/>
      <c r="M207" s="230"/>
      <c r="N207" s="230"/>
      <c r="O207" s="894"/>
      <c r="P207" s="886"/>
      <c r="Q207" s="651"/>
      <c r="R207" s="682"/>
      <c r="S207" s="888"/>
      <c r="T207" s="712"/>
      <c r="U207" s="907"/>
      <c r="V207" s="651"/>
      <c r="W207" s="682"/>
      <c r="X207" s="682"/>
      <c r="Y207" s="682"/>
      <c r="Z207" s="682"/>
      <c r="AC207" s="8"/>
      <c r="AD207" s="5"/>
      <c r="AE207" s="5"/>
    </row>
    <row r="208" spans="2:31" ht="15.75" thickBot="1" x14ac:dyDescent="0.3">
      <c r="B208" s="233"/>
      <c r="C208" s="146"/>
      <c r="D208" s="234"/>
      <c r="E208" s="234">
        <f>SUM(E7:E206)</f>
        <v>0</v>
      </c>
      <c r="F208" s="234"/>
      <c r="G208" s="234"/>
      <c r="H208" s="279">
        <f>SUM(H7:H207)</f>
        <v>0</v>
      </c>
      <c r="I208" s="279">
        <f>SUM(I7:I207)</f>
        <v>0</v>
      </c>
      <c r="J208" s="279">
        <f>SUM(J7:J207)</f>
        <v>0</v>
      </c>
      <c r="K208" s="279">
        <f>SUM(K7:K207)</f>
        <v>0</v>
      </c>
      <c r="L208" s="279">
        <f>SUM(L7:L207)</f>
        <v>0</v>
      </c>
      <c r="M208" s="885"/>
      <c r="N208" s="885"/>
      <c r="O208" s="280">
        <f>IF(I208=0,0,K208/I208)</f>
        <v>0</v>
      </c>
      <c r="P208" s="887">
        <f>SUM(P7:P206)</f>
        <v>0</v>
      </c>
      <c r="Q208" s="279">
        <f>IF(H208=0,0,R208/H208)</f>
        <v>0</v>
      </c>
      <c r="R208" s="281">
        <f>SUM(R7:R207)</f>
        <v>0</v>
      </c>
      <c r="S208" s="887">
        <f>SUM(S7:S206)</f>
        <v>0</v>
      </c>
      <c r="T208" s="280">
        <f>IF(I208=0,0,L208/I208)</f>
        <v>0</v>
      </c>
      <c r="U208" s="887">
        <f>SUM(U7:U206)</f>
        <v>0</v>
      </c>
      <c r="V208" s="279">
        <f>IF(H208=0,0,W208/H208)</f>
        <v>0</v>
      </c>
      <c r="W208" s="281">
        <f>SUM(W7:W207)</f>
        <v>0</v>
      </c>
      <c r="X208" s="887">
        <f>SUM(X7:X206)</f>
        <v>0</v>
      </c>
      <c r="Y208" s="281"/>
      <c r="Z208" s="281"/>
      <c r="AC208" s="8"/>
      <c r="AD208" s="5"/>
      <c r="AE208" s="5"/>
    </row>
    <row r="209" spans="2:31" x14ac:dyDescent="0.25">
      <c r="C209" s="5"/>
      <c r="D209" s="230"/>
      <c r="E209" s="230"/>
      <c r="F209" s="230"/>
      <c r="G209" s="230"/>
      <c r="H209" s="231" t="s">
        <v>219</v>
      </c>
      <c r="I209" s="231" t="s">
        <v>219</v>
      </c>
      <c r="J209" s="231" t="s">
        <v>219</v>
      </c>
      <c r="K209" s="231" t="s">
        <v>219</v>
      </c>
      <c r="L209" s="231" t="s">
        <v>219</v>
      </c>
      <c r="M209" s="231"/>
      <c r="N209" s="231"/>
      <c r="O209" s="235" t="s">
        <v>394</v>
      </c>
      <c r="P209" s="235"/>
      <c r="Q209" s="236" t="s">
        <v>394</v>
      </c>
      <c r="R209" s="237" t="s">
        <v>219</v>
      </c>
      <c r="S209" s="237"/>
      <c r="T209" s="235" t="s">
        <v>394</v>
      </c>
      <c r="U209" s="235"/>
      <c r="V209" s="236" t="s">
        <v>394</v>
      </c>
      <c r="W209" s="237" t="s">
        <v>219</v>
      </c>
      <c r="X209" s="237"/>
      <c r="Y209" s="237"/>
      <c r="Z209" s="237"/>
      <c r="AC209" s="8"/>
      <c r="AD209" s="5"/>
      <c r="AE209" s="5"/>
    </row>
    <row r="210" spans="2:31" x14ac:dyDescent="0.25">
      <c r="B210" s="5"/>
      <c r="C210" s="5"/>
      <c r="D210" s="5"/>
      <c r="E210" s="5"/>
      <c r="F210" s="5"/>
      <c r="G210" s="5"/>
      <c r="H210" s="5"/>
      <c r="I210" s="5"/>
      <c r="J210" s="5"/>
      <c r="K210" s="5"/>
      <c r="L210" s="5"/>
      <c r="M210" s="5"/>
      <c r="N210" s="5"/>
      <c r="O210" s="5"/>
      <c r="P210" s="5"/>
      <c r="Q210" s="5"/>
      <c r="R210" s="230"/>
      <c r="S210" s="230"/>
      <c r="T210" s="5"/>
      <c r="U210" s="5"/>
      <c r="V210" s="5"/>
      <c r="W210" s="230"/>
      <c r="X210" s="230"/>
      <c r="Y210" s="230"/>
      <c r="Z210" s="230"/>
      <c r="AA210" s="5"/>
      <c r="AD210" s="8"/>
      <c r="AE210" s="5"/>
    </row>
    <row r="211" spans="2:31" ht="15.75" thickBot="1" x14ac:dyDescent="0.3">
      <c r="H211" t="s">
        <v>738</v>
      </c>
      <c r="I211" s="704" t="s">
        <v>736</v>
      </c>
      <c r="AE211" s="5"/>
    </row>
    <row r="212" spans="2:31" x14ac:dyDescent="0.25">
      <c r="B212" s="1102" t="s">
        <v>395</v>
      </c>
      <c r="C212" s="1103"/>
      <c r="D212" s="282">
        <f>H208</f>
        <v>0</v>
      </c>
    </row>
    <row r="213" spans="2:31" x14ac:dyDescent="0.25">
      <c r="B213" s="1170" t="s">
        <v>396</v>
      </c>
      <c r="C213" s="1171"/>
      <c r="D213" s="283">
        <f>L208/1000</f>
        <v>0</v>
      </c>
    </row>
    <row r="214" spans="2:31" x14ac:dyDescent="0.25">
      <c r="B214" s="1094" t="str">
        <f>IF($E$3=$AD$5,"Total Reference Nameplate Power(kW)","Total Reference Input Power(kW)")</f>
        <v>Total Reference Input Power(kW)</v>
      </c>
      <c r="C214" s="1095"/>
      <c r="D214" s="283">
        <f>IF(E3=AD5,R208,W208)/1000</f>
        <v>0</v>
      </c>
    </row>
    <row r="215" spans="2:31" x14ac:dyDescent="0.25">
      <c r="B215" s="1092" t="str">
        <f>IF($E$3=$AD$5,"Total Design Nameplate Power(kW)","Total Design Input Power(kW)")</f>
        <v>Total Design Input Power(kW)</v>
      </c>
      <c r="C215" s="1093"/>
      <c r="D215" s="284">
        <f>IF(E3=AD5,K208,L208)/1000</f>
        <v>0</v>
      </c>
    </row>
    <row r="216" spans="2:31" ht="15.75" thickBot="1" x14ac:dyDescent="0.3">
      <c r="B216" s="1166" t="s">
        <v>397</v>
      </c>
      <c r="C216" s="1167"/>
      <c r="D216" s="285">
        <f>D214-D215</f>
        <v>0</v>
      </c>
    </row>
    <row r="217" spans="2:31" x14ac:dyDescent="0.25">
      <c r="B217" s="1094" t="str">
        <f>IF($E$3=$AD$5,"Total Reference Nameplate Power Consumption (kWh/yr)","Total Reference Input Power Consumption (kWh/yr)")</f>
        <v>Total Reference Input Power Consumption (kWh/yr)</v>
      </c>
      <c r="C217" s="1095"/>
      <c r="D217" s="905">
        <f>IF($E$3=$AD$5,S208,X208)</f>
        <v>0</v>
      </c>
    </row>
    <row r="218" spans="2:31" x14ac:dyDescent="0.25">
      <c r="B218" s="1092" t="str">
        <f>IF($E$3=$AD$5,"Total Design Nameplate Power Consumption (kWh/yr)","Total Design Input Power Consumption (kWh/yr)")</f>
        <v>Total Design Input Power Consumption (kWh/yr)</v>
      </c>
      <c r="C218" s="1093"/>
      <c r="D218" s="905">
        <f>IF($E$3=$AD$5,P208,U208)</f>
        <v>0</v>
      </c>
    </row>
  </sheetData>
  <sheetProtection algorithmName="SHA-512" hashValue="UzWFKOUZrZp+DStb1y1IeX01oEpr2iB9UEDGqg1fN5IDB1eecJhceqgnm0U1XZiWbTSWAV5uR1Otcd771xmxlQ==" saltValue="QBcw13+Z+aylMUezg2oOvw==" spinCount="100000" sheet="1" objects="1" scenarios="1" selectLockedCells="1" sort="0" autoFilter="0" pivotTables="0"/>
  <mergeCells count="23">
    <mergeCell ref="T5:Y5"/>
    <mergeCell ref="B216:C216"/>
    <mergeCell ref="B207:C207"/>
    <mergeCell ref="B212:C212"/>
    <mergeCell ref="B213:C213"/>
    <mergeCell ref="B214:C214"/>
    <mergeCell ref="O5:S5"/>
    <mergeCell ref="AE6:AF6"/>
    <mergeCell ref="AC54:AE54"/>
    <mergeCell ref="AC55:AE55"/>
    <mergeCell ref="AC56:AE56"/>
    <mergeCell ref="AC11:AE12"/>
    <mergeCell ref="AC13:AE13"/>
    <mergeCell ref="AC14:AE14"/>
    <mergeCell ref="AC15:AE15"/>
    <mergeCell ref="AC16:AE17"/>
    <mergeCell ref="AC18:AE19"/>
    <mergeCell ref="B217:C217"/>
    <mergeCell ref="B218:C218"/>
    <mergeCell ref="B215:C215"/>
    <mergeCell ref="AC52:AE53"/>
    <mergeCell ref="AC57:AE58"/>
    <mergeCell ref="AC59:AE60"/>
  </mergeCells>
  <dataValidations disablePrompts="1" count="3">
    <dataValidation type="list" allowBlank="1" showInputMessage="1" showErrorMessage="1" sqref="E3">
      <formula1>$AD$5:$AE$5</formula1>
    </dataValidation>
    <dataValidation type="list" allowBlank="1" showInputMessage="1" showErrorMessage="1" sqref="W210:Z210 R210:S210">
      <formula1>$AE$7:$AE$8</formula1>
    </dataValidation>
    <dataValidation type="list" allowBlank="1" showInputMessage="1" showErrorMessage="1" sqref="E209">
      <formula1>$AB$7:$AB$7</formula1>
    </dataValidation>
  </dataValidations>
  <pageMargins left="0.70866141732283472" right="0.70866141732283472" top="0.74803149606299213" bottom="0.74803149606299213" header="0.31496062992125984" footer="0.31496062992125984"/>
  <pageSetup paperSize="8" scale="71" orientation="landscape" r:id="rId1"/>
  <colBreaks count="1" manualBreakCount="1">
    <brk id="27"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C000"/>
  </sheetPr>
  <dimension ref="A1:Q55"/>
  <sheetViews>
    <sheetView zoomScaleNormal="100" workbookViewId="0">
      <selection activeCell="E11" sqref="E11"/>
    </sheetView>
  </sheetViews>
  <sheetFormatPr defaultRowHeight="15" x14ac:dyDescent="0.25"/>
  <cols>
    <col min="1" max="1" width="3" customWidth="1"/>
    <col min="2" max="3" width="15.7109375" customWidth="1"/>
    <col min="4" max="4" width="20.28515625" customWidth="1"/>
    <col min="5" max="16" width="15.7109375" customWidth="1"/>
    <col min="17" max="17" width="21.42578125" customWidth="1"/>
    <col min="18" max="18" width="16.5703125" customWidth="1"/>
  </cols>
  <sheetData>
    <row r="1" spans="1:17" ht="15.75" x14ac:dyDescent="0.25">
      <c r="A1" s="7" t="s">
        <v>27</v>
      </c>
    </row>
    <row r="3" spans="1:17" s="20" customFormat="1" ht="15.75" x14ac:dyDescent="0.25">
      <c r="A3" s="20" t="s">
        <v>28</v>
      </c>
    </row>
    <row r="4" spans="1:17" ht="16.5" thickBot="1" x14ac:dyDescent="0.3">
      <c r="A4" s="7"/>
    </row>
    <row r="5" spans="1:17" ht="15.75" customHeight="1" thickBot="1" x14ac:dyDescent="0.3">
      <c r="B5" s="1177" t="s">
        <v>381</v>
      </c>
      <c r="C5" s="1178"/>
      <c r="D5" s="1178"/>
      <c r="E5" s="1178"/>
      <c r="F5" s="1179"/>
      <c r="G5" s="1177" t="s">
        <v>380</v>
      </c>
      <c r="H5" s="1178"/>
      <c r="I5" s="1178"/>
      <c r="J5" s="1178"/>
      <c r="K5" s="1178"/>
      <c r="L5" s="1178"/>
      <c r="M5" s="1178"/>
      <c r="N5" s="1179"/>
      <c r="O5" s="213" t="s">
        <v>219</v>
      </c>
      <c r="P5" s="1172" t="s">
        <v>460</v>
      </c>
      <c r="Q5" s="1173"/>
    </row>
    <row r="6" spans="1:17" s="24" customFormat="1" ht="90.75" thickBot="1" x14ac:dyDescent="0.3">
      <c r="B6" s="9" t="s">
        <v>29</v>
      </c>
      <c r="C6" s="10" t="s">
        <v>30</v>
      </c>
      <c r="D6" s="10" t="s">
        <v>31</v>
      </c>
      <c r="E6" s="10" t="s">
        <v>92</v>
      </c>
      <c r="F6" s="10" t="s">
        <v>374</v>
      </c>
      <c r="G6" s="825" t="s">
        <v>91</v>
      </c>
      <c r="H6" s="825" t="s">
        <v>375</v>
      </c>
      <c r="I6" s="825" t="s">
        <v>377</v>
      </c>
      <c r="J6" s="825" t="s">
        <v>32</v>
      </c>
      <c r="K6" s="825" t="s">
        <v>33</v>
      </c>
      <c r="L6" s="922" t="s">
        <v>376</v>
      </c>
      <c r="M6" s="922" t="s">
        <v>378</v>
      </c>
      <c r="N6" s="922" t="s">
        <v>379</v>
      </c>
      <c r="O6" s="55" t="s">
        <v>34</v>
      </c>
      <c r="P6" s="55" t="s">
        <v>408</v>
      </c>
      <c r="Q6" s="55" t="s">
        <v>409</v>
      </c>
    </row>
    <row r="7" spans="1:17" x14ac:dyDescent="0.25">
      <c r="B7" s="347"/>
      <c r="C7" s="348"/>
      <c r="D7" s="348"/>
      <c r="E7" s="348"/>
      <c r="F7" s="348"/>
      <c r="G7" s="434">
        <f>'Building Data schedule'!C14</f>
        <v>55</v>
      </c>
      <c r="H7" s="435">
        <f t="shared" ref="H7:H25" si="0">0.2*G7</f>
        <v>11</v>
      </c>
      <c r="I7" s="435">
        <f>H7*52</f>
        <v>572</v>
      </c>
      <c r="J7" s="348"/>
      <c r="K7" s="348"/>
      <c r="L7" s="438">
        <f>(24*7-H7)*52</f>
        <v>8164</v>
      </c>
      <c r="M7" s="351"/>
      <c r="N7" s="438">
        <f t="shared" ref="N7:N25" si="1">M7*G7*52</f>
        <v>0</v>
      </c>
      <c r="O7" s="779">
        <f t="shared" ref="O7:O25" si="2">(J7*I7+L7*K7+N7)*C7</f>
        <v>0</v>
      </c>
      <c r="P7" s="351"/>
      <c r="Q7" s="780">
        <f>O7*P7/100</f>
        <v>0</v>
      </c>
    </row>
    <row r="8" spans="1:17" x14ac:dyDescent="0.25">
      <c r="B8" s="349"/>
      <c r="C8" s="350"/>
      <c r="D8" s="350"/>
      <c r="E8" s="350"/>
      <c r="F8" s="350"/>
      <c r="G8" s="436">
        <f>'Building Data schedule'!C14</f>
        <v>55</v>
      </c>
      <c r="H8" s="437">
        <f t="shared" si="0"/>
        <v>11</v>
      </c>
      <c r="I8" s="437">
        <f>H8*52</f>
        <v>572</v>
      </c>
      <c r="J8" s="350"/>
      <c r="K8" s="350"/>
      <c r="L8" s="439">
        <f>(24*7-H8)*52</f>
        <v>8164</v>
      </c>
      <c r="M8" s="352"/>
      <c r="N8" s="439">
        <f t="shared" si="1"/>
        <v>0</v>
      </c>
      <c r="O8" s="440">
        <f t="shared" si="2"/>
        <v>0</v>
      </c>
      <c r="P8" s="352"/>
      <c r="Q8" s="441">
        <f t="shared" ref="Q8:Q25" si="3">O8*P8/100</f>
        <v>0</v>
      </c>
    </row>
    <row r="9" spans="1:17" x14ac:dyDescent="0.25">
      <c r="B9" s="349"/>
      <c r="C9" s="350"/>
      <c r="D9" s="350"/>
      <c r="E9" s="350"/>
      <c r="F9" s="350"/>
      <c r="G9" s="436">
        <f>'Building Data schedule'!C14</f>
        <v>55</v>
      </c>
      <c r="H9" s="437">
        <f t="shared" si="0"/>
        <v>11</v>
      </c>
      <c r="I9" s="437">
        <f t="shared" ref="I9:I25" si="4">H9*52</f>
        <v>572</v>
      </c>
      <c r="J9" s="350"/>
      <c r="K9" s="350"/>
      <c r="L9" s="439">
        <f t="shared" ref="L9:L25" si="5">(24*7-H9)*52</f>
        <v>8164</v>
      </c>
      <c r="M9" s="352"/>
      <c r="N9" s="439">
        <f t="shared" si="1"/>
        <v>0</v>
      </c>
      <c r="O9" s="440">
        <f t="shared" si="2"/>
        <v>0</v>
      </c>
      <c r="P9" s="352"/>
      <c r="Q9" s="441">
        <f t="shared" si="3"/>
        <v>0</v>
      </c>
    </row>
    <row r="10" spans="1:17" x14ac:dyDescent="0.25">
      <c r="B10" s="349"/>
      <c r="C10" s="350"/>
      <c r="D10" s="350"/>
      <c r="E10" s="350"/>
      <c r="F10" s="350"/>
      <c r="G10" s="436">
        <f>'Building Data schedule'!C14</f>
        <v>55</v>
      </c>
      <c r="H10" s="437">
        <f t="shared" si="0"/>
        <v>11</v>
      </c>
      <c r="I10" s="437">
        <f t="shared" si="4"/>
        <v>572</v>
      </c>
      <c r="J10" s="350"/>
      <c r="K10" s="350"/>
      <c r="L10" s="439">
        <f t="shared" si="5"/>
        <v>8164</v>
      </c>
      <c r="M10" s="352"/>
      <c r="N10" s="439">
        <f t="shared" si="1"/>
        <v>0</v>
      </c>
      <c r="O10" s="440">
        <f t="shared" si="2"/>
        <v>0</v>
      </c>
      <c r="P10" s="352"/>
      <c r="Q10" s="441">
        <f t="shared" si="3"/>
        <v>0</v>
      </c>
    </row>
    <row r="11" spans="1:17" x14ac:dyDescent="0.25">
      <c r="B11" s="349"/>
      <c r="C11" s="350"/>
      <c r="D11" s="350"/>
      <c r="E11" s="350"/>
      <c r="F11" s="350"/>
      <c r="G11" s="436">
        <f>'Building Data schedule'!C14</f>
        <v>55</v>
      </c>
      <c r="H11" s="437">
        <f t="shared" si="0"/>
        <v>11</v>
      </c>
      <c r="I11" s="437">
        <f t="shared" si="4"/>
        <v>572</v>
      </c>
      <c r="J11" s="350"/>
      <c r="K11" s="350"/>
      <c r="L11" s="439">
        <f t="shared" si="5"/>
        <v>8164</v>
      </c>
      <c r="M11" s="352"/>
      <c r="N11" s="439">
        <f t="shared" si="1"/>
        <v>0</v>
      </c>
      <c r="O11" s="440">
        <f t="shared" si="2"/>
        <v>0</v>
      </c>
      <c r="P11" s="352"/>
      <c r="Q11" s="441">
        <f t="shared" si="3"/>
        <v>0</v>
      </c>
    </row>
    <row r="12" spans="1:17" x14ac:dyDescent="0.25">
      <c r="B12" s="349"/>
      <c r="C12" s="350"/>
      <c r="D12" s="350"/>
      <c r="E12" s="350"/>
      <c r="F12" s="350"/>
      <c r="G12" s="436">
        <f>'Building Data schedule'!C14</f>
        <v>55</v>
      </c>
      <c r="H12" s="437">
        <f t="shared" si="0"/>
        <v>11</v>
      </c>
      <c r="I12" s="437">
        <f t="shared" si="4"/>
        <v>572</v>
      </c>
      <c r="J12" s="350"/>
      <c r="K12" s="350"/>
      <c r="L12" s="439">
        <f t="shared" si="5"/>
        <v>8164</v>
      </c>
      <c r="M12" s="352"/>
      <c r="N12" s="439">
        <f t="shared" si="1"/>
        <v>0</v>
      </c>
      <c r="O12" s="440">
        <f t="shared" si="2"/>
        <v>0</v>
      </c>
      <c r="P12" s="352"/>
      <c r="Q12" s="441">
        <f t="shared" si="3"/>
        <v>0</v>
      </c>
    </row>
    <row r="13" spans="1:17" x14ac:dyDescent="0.25">
      <c r="B13" s="349"/>
      <c r="C13" s="350"/>
      <c r="D13" s="350"/>
      <c r="E13" s="350"/>
      <c r="F13" s="350"/>
      <c r="G13" s="436">
        <f>'Building Data schedule'!C14</f>
        <v>55</v>
      </c>
      <c r="H13" s="437">
        <f t="shared" si="0"/>
        <v>11</v>
      </c>
      <c r="I13" s="437">
        <f t="shared" si="4"/>
        <v>572</v>
      </c>
      <c r="J13" s="350"/>
      <c r="K13" s="350"/>
      <c r="L13" s="439">
        <f t="shared" si="5"/>
        <v>8164</v>
      </c>
      <c r="M13" s="352"/>
      <c r="N13" s="439">
        <f t="shared" si="1"/>
        <v>0</v>
      </c>
      <c r="O13" s="440">
        <f t="shared" si="2"/>
        <v>0</v>
      </c>
      <c r="P13" s="352"/>
      <c r="Q13" s="441">
        <f t="shared" si="3"/>
        <v>0</v>
      </c>
    </row>
    <row r="14" spans="1:17" x14ac:dyDescent="0.25">
      <c r="B14" s="349"/>
      <c r="C14" s="350"/>
      <c r="D14" s="350"/>
      <c r="E14" s="350"/>
      <c r="F14" s="350"/>
      <c r="G14" s="436">
        <f>'Building Data schedule'!C14</f>
        <v>55</v>
      </c>
      <c r="H14" s="437">
        <f t="shared" si="0"/>
        <v>11</v>
      </c>
      <c r="I14" s="437">
        <f t="shared" si="4"/>
        <v>572</v>
      </c>
      <c r="J14" s="350"/>
      <c r="K14" s="350"/>
      <c r="L14" s="439">
        <f t="shared" si="5"/>
        <v>8164</v>
      </c>
      <c r="M14" s="352"/>
      <c r="N14" s="439">
        <f t="shared" si="1"/>
        <v>0</v>
      </c>
      <c r="O14" s="440">
        <f t="shared" si="2"/>
        <v>0</v>
      </c>
      <c r="P14" s="352"/>
      <c r="Q14" s="441">
        <f t="shared" si="3"/>
        <v>0</v>
      </c>
    </row>
    <row r="15" spans="1:17" x14ac:dyDescent="0.25">
      <c r="B15" s="349"/>
      <c r="C15" s="350"/>
      <c r="D15" s="350"/>
      <c r="E15" s="350"/>
      <c r="F15" s="350"/>
      <c r="G15" s="436">
        <f>'Building Data schedule'!C14</f>
        <v>55</v>
      </c>
      <c r="H15" s="437">
        <f t="shared" si="0"/>
        <v>11</v>
      </c>
      <c r="I15" s="437">
        <f t="shared" si="4"/>
        <v>572</v>
      </c>
      <c r="J15" s="350"/>
      <c r="K15" s="350"/>
      <c r="L15" s="439">
        <f t="shared" si="5"/>
        <v>8164</v>
      </c>
      <c r="M15" s="352"/>
      <c r="N15" s="439">
        <f t="shared" si="1"/>
        <v>0</v>
      </c>
      <c r="O15" s="440">
        <f t="shared" si="2"/>
        <v>0</v>
      </c>
      <c r="P15" s="352"/>
      <c r="Q15" s="441">
        <f t="shared" si="3"/>
        <v>0</v>
      </c>
    </row>
    <row r="16" spans="1:17" x14ac:dyDescent="0.25">
      <c r="B16" s="349"/>
      <c r="C16" s="350"/>
      <c r="D16" s="350"/>
      <c r="E16" s="350"/>
      <c r="F16" s="350"/>
      <c r="G16" s="436">
        <f>'Building Data schedule'!C14</f>
        <v>55</v>
      </c>
      <c r="H16" s="437">
        <f t="shared" si="0"/>
        <v>11</v>
      </c>
      <c r="I16" s="437">
        <f t="shared" si="4"/>
        <v>572</v>
      </c>
      <c r="J16" s="350"/>
      <c r="K16" s="350"/>
      <c r="L16" s="439">
        <f t="shared" si="5"/>
        <v>8164</v>
      </c>
      <c r="M16" s="352"/>
      <c r="N16" s="439">
        <f t="shared" si="1"/>
        <v>0</v>
      </c>
      <c r="O16" s="440">
        <f t="shared" si="2"/>
        <v>0</v>
      </c>
      <c r="P16" s="352"/>
      <c r="Q16" s="441">
        <f t="shared" si="3"/>
        <v>0</v>
      </c>
    </row>
    <row r="17" spans="2:17" x14ac:dyDescent="0.25">
      <c r="B17" s="349"/>
      <c r="C17" s="350"/>
      <c r="D17" s="350"/>
      <c r="E17" s="350"/>
      <c r="F17" s="350"/>
      <c r="G17" s="436">
        <f>'Building Data schedule'!C14</f>
        <v>55</v>
      </c>
      <c r="H17" s="437">
        <f t="shared" si="0"/>
        <v>11</v>
      </c>
      <c r="I17" s="437">
        <f t="shared" si="4"/>
        <v>572</v>
      </c>
      <c r="J17" s="350"/>
      <c r="K17" s="350"/>
      <c r="L17" s="439">
        <f t="shared" si="5"/>
        <v>8164</v>
      </c>
      <c r="M17" s="352"/>
      <c r="N17" s="439">
        <f t="shared" si="1"/>
        <v>0</v>
      </c>
      <c r="O17" s="440">
        <f t="shared" si="2"/>
        <v>0</v>
      </c>
      <c r="P17" s="352"/>
      <c r="Q17" s="441">
        <f t="shared" si="3"/>
        <v>0</v>
      </c>
    </row>
    <row r="18" spans="2:17" x14ac:dyDescent="0.25">
      <c r="B18" s="349"/>
      <c r="C18" s="350"/>
      <c r="D18" s="350"/>
      <c r="E18" s="350"/>
      <c r="F18" s="350"/>
      <c r="G18" s="436">
        <f>'Building Data schedule'!C14</f>
        <v>55</v>
      </c>
      <c r="H18" s="437">
        <f t="shared" si="0"/>
        <v>11</v>
      </c>
      <c r="I18" s="437">
        <f t="shared" si="4"/>
        <v>572</v>
      </c>
      <c r="J18" s="350"/>
      <c r="K18" s="350"/>
      <c r="L18" s="439">
        <f t="shared" si="5"/>
        <v>8164</v>
      </c>
      <c r="M18" s="352"/>
      <c r="N18" s="439">
        <f t="shared" si="1"/>
        <v>0</v>
      </c>
      <c r="O18" s="440">
        <f t="shared" si="2"/>
        <v>0</v>
      </c>
      <c r="P18" s="352"/>
      <c r="Q18" s="441">
        <f t="shared" si="3"/>
        <v>0</v>
      </c>
    </row>
    <row r="19" spans="2:17" x14ac:dyDescent="0.25">
      <c r="B19" s="349"/>
      <c r="C19" s="350"/>
      <c r="D19" s="350"/>
      <c r="E19" s="350"/>
      <c r="F19" s="350"/>
      <c r="G19" s="436">
        <f>'Building Data schedule'!C14</f>
        <v>55</v>
      </c>
      <c r="H19" s="437">
        <f t="shared" si="0"/>
        <v>11</v>
      </c>
      <c r="I19" s="437">
        <f t="shared" si="4"/>
        <v>572</v>
      </c>
      <c r="J19" s="350"/>
      <c r="K19" s="350"/>
      <c r="L19" s="439">
        <f t="shared" si="5"/>
        <v>8164</v>
      </c>
      <c r="M19" s="352"/>
      <c r="N19" s="439">
        <f t="shared" si="1"/>
        <v>0</v>
      </c>
      <c r="O19" s="440">
        <f t="shared" si="2"/>
        <v>0</v>
      </c>
      <c r="P19" s="352"/>
      <c r="Q19" s="441">
        <f t="shared" si="3"/>
        <v>0</v>
      </c>
    </row>
    <row r="20" spans="2:17" x14ac:dyDescent="0.25">
      <c r="B20" s="349"/>
      <c r="C20" s="350"/>
      <c r="D20" s="350"/>
      <c r="E20" s="350"/>
      <c r="F20" s="350"/>
      <c r="G20" s="436">
        <f>'Building Data schedule'!C14</f>
        <v>55</v>
      </c>
      <c r="H20" s="437">
        <f t="shared" si="0"/>
        <v>11</v>
      </c>
      <c r="I20" s="437">
        <f t="shared" si="4"/>
        <v>572</v>
      </c>
      <c r="J20" s="350"/>
      <c r="K20" s="350"/>
      <c r="L20" s="439">
        <f t="shared" si="5"/>
        <v>8164</v>
      </c>
      <c r="M20" s="352"/>
      <c r="N20" s="439">
        <f t="shared" si="1"/>
        <v>0</v>
      </c>
      <c r="O20" s="440">
        <f t="shared" si="2"/>
        <v>0</v>
      </c>
      <c r="P20" s="352"/>
      <c r="Q20" s="441">
        <f t="shared" si="3"/>
        <v>0</v>
      </c>
    </row>
    <row r="21" spans="2:17" x14ac:dyDescent="0.25">
      <c r="B21" s="349"/>
      <c r="C21" s="350"/>
      <c r="D21" s="350"/>
      <c r="E21" s="350"/>
      <c r="F21" s="350"/>
      <c r="G21" s="436">
        <f>'Building Data schedule'!C14</f>
        <v>55</v>
      </c>
      <c r="H21" s="437">
        <f t="shared" si="0"/>
        <v>11</v>
      </c>
      <c r="I21" s="437">
        <f t="shared" si="4"/>
        <v>572</v>
      </c>
      <c r="J21" s="350"/>
      <c r="K21" s="350"/>
      <c r="L21" s="439">
        <f t="shared" si="5"/>
        <v>8164</v>
      </c>
      <c r="M21" s="352"/>
      <c r="N21" s="439">
        <f t="shared" si="1"/>
        <v>0</v>
      </c>
      <c r="O21" s="440">
        <f t="shared" si="2"/>
        <v>0</v>
      </c>
      <c r="P21" s="352"/>
      <c r="Q21" s="441">
        <f t="shared" si="3"/>
        <v>0</v>
      </c>
    </row>
    <row r="22" spans="2:17" x14ac:dyDescent="0.25">
      <c r="B22" s="349"/>
      <c r="C22" s="350"/>
      <c r="D22" s="350"/>
      <c r="E22" s="350"/>
      <c r="F22" s="350"/>
      <c r="G22" s="436">
        <f>'Building Data schedule'!C14</f>
        <v>55</v>
      </c>
      <c r="H22" s="437">
        <f t="shared" si="0"/>
        <v>11</v>
      </c>
      <c r="I22" s="437">
        <f t="shared" si="4"/>
        <v>572</v>
      </c>
      <c r="J22" s="350"/>
      <c r="K22" s="350"/>
      <c r="L22" s="439">
        <f t="shared" si="5"/>
        <v>8164</v>
      </c>
      <c r="M22" s="352"/>
      <c r="N22" s="439">
        <f t="shared" si="1"/>
        <v>0</v>
      </c>
      <c r="O22" s="440">
        <f t="shared" si="2"/>
        <v>0</v>
      </c>
      <c r="P22" s="352"/>
      <c r="Q22" s="441">
        <f t="shared" si="3"/>
        <v>0</v>
      </c>
    </row>
    <row r="23" spans="2:17" x14ac:dyDescent="0.25">
      <c r="B23" s="349"/>
      <c r="C23" s="350"/>
      <c r="D23" s="350"/>
      <c r="E23" s="350"/>
      <c r="F23" s="350"/>
      <c r="G23" s="436">
        <f>'Building Data schedule'!C14</f>
        <v>55</v>
      </c>
      <c r="H23" s="437">
        <f t="shared" si="0"/>
        <v>11</v>
      </c>
      <c r="I23" s="437">
        <f t="shared" si="4"/>
        <v>572</v>
      </c>
      <c r="J23" s="350"/>
      <c r="K23" s="350"/>
      <c r="L23" s="439">
        <f t="shared" si="5"/>
        <v>8164</v>
      </c>
      <c r="M23" s="352"/>
      <c r="N23" s="439">
        <f t="shared" si="1"/>
        <v>0</v>
      </c>
      <c r="O23" s="440">
        <f t="shared" si="2"/>
        <v>0</v>
      </c>
      <c r="P23" s="352"/>
      <c r="Q23" s="441">
        <f t="shared" si="3"/>
        <v>0</v>
      </c>
    </row>
    <row r="24" spans="2:17" x14ac:dyDescent="0.25">
      <c r="B24" s="349"/>
      <c r="C24" s="350"/>
      <c r="D24" s="350"/>
      <c r="E24" s="350"/>
      <c r="F24" s="350"/>
      <c r="G24" s="436">
        <f>'Building Data schedule'!C14</f>
        <v>55</v>
      </c>
      <c r="H24" s="437">
        <f t="shared" si="0"/>
        <v>11</v>
      </c>
      <c r="I24" s="437">
        <f t="shared" si="4"/>
        <v>572</v>
      </c>
      <c r="J24" s="350"/>
      <c r="K24" s="350"/>
      <c r="L24" s="439">
        <f t="shared" si="5"/>
        <v>8164</v>
      </c>
      <c r="M24" s="352"/>
      <c r="N24" s="439">
        <f t="shared" si="1"/>
        <v>0</v>
      </c>
      <c r="O24" s="440">
        <f t="shared" si="2"/>
        <v>0</v>
      </c>
      <c r="P24" s="352"/>
      <c r="Q24" s="441">
        <f t="shared" si="3"/>
        <v>0</v>
      </c>
    </row>
    <row r="25" spans="2:17" x14ac:dyDescent="0.25">
      <c r="B25" s="349"/>
      <c r="C25" s="350"/>
      <c r="D25" s="350"/>
      <c r="E25" s="350"/>
      <c r="F25" s="350"/>
      <c r="G25" s="436">
        <f>'Building Data schedule'!C14</f>
        <v>55</v>
      </c>
      <c r="H25" s="437">
        <f t="shared" si="0"/>
        <v>11</v>
      </c>
      <c r="I25" s="437">
        <f t="shared" si="4"/>
        <v>572</v>
      </c>
      <c r="J25" s="350"/>
      <c r="K25" s="350"/>
      <c r="L25" s="439">
        <f t="shared" si="5"/>
        <v>8164</v>
      </c>
      <c r="M25" s="352"/>
      <c r="N25" s="439">
        <f t="shared" si="1"/>
        <v>0</v>
      </c>
      <c r="O25" s="440">
        <f t="shared" si="2"/>
        <v>0</v>
      </c>
      <c r="P25" s="352"/>
      <c r="Q25" s="441">
        <f t="shared" si="3"/>
        <v>0</v>
      </c>
    </row>
    <row r="26" spans="2:17" ht="15.75" thickBot="1" x14ac:dyDescent="0.3">
      <c r="B26" s="781"/>
      <c r="C26" s="782"/>
      <c r="D26" s="782"/>
      <c r="E26" s="782"/>
      <c r="F26" s="782"/>
      <c r="G26" s="782"/>
      <c r="H26" s="782"/>
      <c r="I26" s="782"/>
      <c r="J26" s="782"/>
      <c r="K26" s="782"/>
      <c r="L26" s="782"/>
      <c r="M26" s="782"/>
      <c r="N26" s="782"/>
      <c r="O26" s="782"/>
      <c r="P26" s="783"/>
      <c r="Q26" s="778"/>
    </row>
    <row r="27" spans="2:17" ht="15.75" thickBot="1" x14ac:dyDescent="0.3">
      <c r="N27" s="776" t="s">
        <v>60</v>
      </c>
      <c r="O27" s="777">
        <f>SUM(O7:O26)</f>
        <v>0</v>
      </c>
      <c r="P27" s="286"/>
      <c r="Q27" s="778">
        <f>SUM(Q7:Q26)</f>
        <v>0</v>
      </c>
    </row>
    <row r="29" spans="2:17" ht="15.75" thickBot="1" x14ac:dyDescent="0.3">
      <c r="B29" s="25"/>
      <c r="D29" s="12"/>
      <c r="E29" s="5"/>
      <c r="F29" s="5"/>
    </row>
    <row r="30" spans="2:17" x14ac:dyDescent="0.25">
      <c r="B30" s="217"/>
      <c r="C30" s="218"/>
      <c r="D30" s="219" t="s">
        <v>93</v>
      </c>
      <c r="E30" s="442">
        <f>O27-Q27</f>
        <v>0</v>
      </c>
      <c r="F30" s="5"/>
    </row>
    <row r="31" spans="2:17" ht="15.75" thickBot="1" x14ac:dyDescent="0.3">
      <c r="B31" s="220"/>
      <c r="C31" s="221"/>
      <c r="D31" s="222" t="s">
        <v>422</v>
      </c>
      <c r="E31" s="443">
        <f>O27</f>
        <v>0</v>
      </c>
      <c r="F31" s="5"/>
    </row>
    <row r="33" spans="1:12" s="20" customFormat="1" ht="15.75" x14ac:dyDescent="0.25">
      <c r="A33" s="20" t="s">
        <v>45</v>
      </c>
    </row>
    <row r="34" spans="1:12" ht="15.75" thickBot="1" x14ac:dyDescent="0.3">
      <c r="E34" s="5"/>
    </row>
    <row r="35" spans="1:12" ht="75.75" thickBot="1" x14ac:dyDescent="0.3">
      <c r="B35" s="203" t="s">
        <v>36</v>
      </c>
      <c r="C35" s="204" t="s">
        <v>31</v>
      </c>
      <c r="D35" s="204" t="s">
        <v>92</v>
      </c>
      <c r="E35" s="204" t="s">
        <v>382</v>
      </c>
      <c r="F35" s="204" t="s">
        <v>410</v>
      </c>
      <c r="G35" s="204" t="s">
        <v>37</v>
      </c>
      <c r="H35" s="204" t="s">
        <v>411</v>
      </c>
      <c r="I35" s="204" t="s">
        <v>412</v>
      </c>
      <c r="J35" s="204" t="s">
        <v>38</v>
      </c>
      <c r="K35" s="215" t="s">
        <v>39</v>
      </c>
      <c r="L35" s="216" t="s">
        <v>40</v>
      </c>
    </row>
    <row r="36" spans="1:12" x14ac:dyDescent="0.25">
      <c r="B36" s="353"/>
      <c r="C36" s="348"/>
      <c r="D36" s="348"/>
      <c r="E36" s="354"/>
      <c r="F36" s="354"/>
      <c r="G36" s="448">
        <f>F36*52</f>
        <v>0</v>
      </c>
      <c r="H36" s="359"/>
      <c r="I36" s="448">
        <f>1</f>
        <v>1</v>
      </c>
      <c r="J36" s="359"/>
      <c r="K36" s="444">
        <f>J36*G36*H36*E36</f>
        <v>0</v>
      </c>
      <c r="L36" s="445">
        <f>J36*G36*I36*E36</f>
        <v>0</v>
      </c>
    </row>
    <row r="37" spans="1:12" s="628" customFormat="1" x14ac:dyDescent="0.25">
      <c r="B37" s="355"/>
      <c r="C37" s="356"/>
      <c r="D37" s="356"/>
      <c r="E37" s="357"/>
      <c r="F37" s="357"/>
      <c r="G37" s="449">
        <f t="shared" ref="G37:G42" si="6">F37*52</f>
        <v>0</v>
      </c>
      <c r="H37" s="360"/>
      <c r="I37" s="449">
        <f>1</f>
        <v>1</v>
      </c>
      <c r="J37" s="360"/>
      <c r="K37" s="446">
        <f t="shared" ref="K37:K42" si="7">J37*G37*H37*E37</f>
        <v>0</v>
      </c>
      <c r="L37" s="447">
        <f t="shared" ref="L37:L42" si="8">J37*G37*I37*E37</f>
        <v>0</v>
      </c>
    </row>
    <row r="38" spans="1:12" s="628" customFormat="1" x14ac:dyDescent="0.25">
      <c r="B38" s="355"/>
      <c r="C38" s="356"/>
      <c r="D38" s="356"/>
      <c r="E38" s="357"/>
      <c r="F38" s="357"/>
      <c r="G38" s="449">
        <f t="shared" si="6"/>
        <v>0</v>
      </c>
      <c r="H38" s="360"/>
      <c r="I38" s="449">
        <f>1</f>
        <v>1</v>
      </c>
      <c r="J38" s="360"/>
      <c r="K38" s="446">
        <f t="shared" si="7"/>
        <v>0</v>
      </c>
      <c r="L38" s="447">
        <f t="shared" si="8"/>
        <v>0</v>
      </c>
    </row>
    <row r="39" spans="1:12" s="628" customFormat="1" x14ac:dyDescent="0.25">
      <c r="B39" s="355"/>
      <c r="C39" s="356"/>
      <c r="D39" s="356"/>
      <c r="E39" s="357"/>
      <c r="F39" s="357"/>
      <c r="G39" s="449">
        <f t="shared" si="6"/>
        <v>0</v>
      </c>
      <c r="H39" s="360"/>
      <c r="I39" s="449">
        <f>1</f>
        <v>1</v>
      </c>
      <c r="J39" s="360"/>
      <c r="K39" s="446">
        <f t="shared" si="7"/>
        <v>0</v>
      </c>
      <c r="L39" s="447">
        <f t="shared" si="8"/>
        <v>0</v>
      </c>
    </row>
    <row r="40" spans="1:12" s="628" customFormat="1" x14ac:dyDescent="0.25">
      <c r="B40" s="355"/>
      <c r="C40" s="356"/>
      <c r="D40" s="356"/>
      <c r="E40" s="357"/>
      <c r="F40" s="357"/>
      <c r="G40" s="449">
        <f t="shared" si="6"/>
        <v>0</v>
      </c>
      <c r="H40" s="360"/>
      <c r="I40" s="449">
        <f>1</f>
        <v>1</v>
      </c>
      <c r="J40" s="360"/>
      <c r="K40" s="446">
        <f t="shared" si="7"/>
        <v>0</v>
      </c>
      <c r="L40" s="447">
        <f t="shared" si="8"/>
        <v>0</v>
      </c>
    </row>
    <row r="41" spans="1:12" s="628" customFormat="1" x14ac:dyDescent="0.25">
      <c r="B41" s="355"/>
      <c r="C41" s="356"/>
      <c r="D41" s="356"/>
      <c r="E41" s="357"/>
      <c r="F41" s="357"/>
      <c r="G41" s="449">
        <f t="shared" si="6"/>
        <v>0</v>
      </c>
      <c r="H41" s="360"/>
      <c r="I41" s="449">
        <f>1</f>
        <v>1</v>
      </c>
      <c r="J41" s="360"/>
      <c r="K41" s="446">
        <f t="shared" si="7"/>
        <v>0</v>
      </c>
      <c r="L41" s="447">
        <f t="shared" si="8"/>
        <v>0</v>
      </c>
    </row>
    <row r="42" spans="1:12" s="628" customFormat="1" x14ac:dyDescent="0.25">
      <c r="B42" s="355"/>
      <c r="C42" s="356"/>
      <c r="D42" s="356"/>
      <c r="E42" s="357"/>
      <c r="F42" s="357"/>
      <c r="G42" s="449">
        <f t="shared" si="6"/>
        <v>0</v>
      </c>
      <c r="H42" s="360"/>
      <c r="I42" s="449">
        <f>1</f>
        <v>1</v>
      </c>
      <c r="J42" s="360"/>
      <c r="K42" s="446">
        <f t="shared" si="7"/>
        <v>0</v>
      </c>
      <c r="L42" s="447">
        <f t="shared" si="8"/>
        <v>0</v>
      </c>
    </row>
    <row r="43" spans="1:12" x14ac:dyDescent="0.25">
      <c r="B43" s="355"/>
      <c r="C43" s="356"/>
      <c r="D43" s="356"/>
      <c r="E43" s="357"/>
      <c r="F43" s="357"/>
      <c r="G43" s="449">
        <f t="shared" ref="G43:G50" si="9">F43*52</f>
        <v>0</v>
      </c>
      <c r="H43" s="360"/>
      <c r="I43" s="449">
        <f>1</f>
        <v>1</v>
      </c>
      <c r="J43" s="360"/>
      <c r="K43" s="446">
        <f t="shared" ref="K43:K50" si="10">J43*G43*H43*E43</f>
        <v>0</v>
      </c>
      <c r="L43" s="447">
        <f t="shared" ref="L43:L50" si="11">J43*G43*I43*E43</f>
        <v>0</v>
      </c>
    </row>
    <row r="44" spans="1:12" x14ac:dyDescent="0.25">
      <c r="B44" s="355"/>
      <c r="C44" s="356"/>
      <c r="D44" s="356"/>
      <c r="E44" s="357"/>
      <c r="F44" s="357"/>
      <c r="G44" s="449">
        <f t="shared" si="9"/>
        <v>0</v>
      </c>
      <c r="H44" s="360"/>
      <c r="I44" s="449">
        <f>1</f>
        <v>1</v>
      </c>
      <c r="J44" s="360"/>
      <c r="K44" s="446">
        <f t="shared" si="10"/>
        <v>0</v>
      </c>
      <c r="L44" s="447">
        <f t="shared" si="11"/>
        <v>0</v>
      </c>
    </row>
    <row r="45" spans="1:12" x14ac:dyDescent="0.25">
      <c r="B45" s="355"/>
      <c r="C45" s="356"/>
      <c r="D45" s="356"/>
      <c r="E45" s="357"/>
      <c r="F45" s="357"/>
      <c r="G45" s="449">
        <f t="shared" si="9"/>
        <v>0</v>
      </c>
      <c r="H45" s="360"/>
      <c r="I45" s="449">
        <f>1</f>
        <v>1</v>
      </c>
      <c r="J45" s="360"/>
      <c r="K45" s="446">
        <f t="shared" si="10"/>
        <v>0</v>
      </c>
      <c r="L45" s="447">
        <f t="shared" si="11"/>
        <v>0</v>
      </c>
    </row>
    <row r="46" spans="1:12" x14ac:dyDescent="0.25">
      <c r="B46" s="355"/>
      <c r="C46" s="356"/>
      <c r="D46" s="356"/>
      <c r="E46" s="357"/>
      <c r="F46" s="357"/>
      <c r="G46" s="449">
        <f t="shared" si="9"/>
        <v>0</v>
      </c>
      <c r="H46" s="360"/>
      <c r="I46" s="449">
        <f>1</f>
        <v>1</v>
      </c>
      <c r="J46" s="360"/>
      <c r="K46" s="446">
        <f t="shared" si="10"/>
        <v>0</v>
      </c>
      <c r="L46" s="447">
        <f t="shared" si="11"/>
        <v>0</v>
      </c>
    </row>
    <row r="47" spans="1:12" x14ac:dyDescent="0.25">
      <c r="B47" s="355"/>
      <c r="C47" s="356"/>
      <c r="D47" s="356"/>
      <c r="E47" s="357"/>
      <c r="F47" s="357"/>
      <c r="G47" s="449">
        <f t="shared" si="9"/>
        <v>0</v>
      </c>
      <c r="H47" s="360"/>
      <c r="I47" s="449">
        <f>1</f>
        <v>1</v>
      </c>
      <c r="J47" s="360"/>
      <c r="K47" s="446">
        <f t="shared" si="10"/>
        <v>0</v>
      </c>
      <c r="L47" s="447">
        <f t="shared" si="11"/>
        <v>0</v>
      </c>
    </row>
    <row r="48" spans="1:12" x14ac:dyDescent="0.25">
      <c r="B48" s="355"/>
      <c r="C48" s="356"/>
      <c r="D48" s="356"/>
      <c r="E48" s="357"/>
      <c r="F48" s="357"/>
      <c r="G48" s="449">
        <f t="shared" si="9"/>
        <v>0</v>
      </c>
      <c r="H48" s="360"/>
      <c r="I48" s="449">
        <f>1</f>
        <v>1</v>
      </c>
      <c r="J48" s="360"/>
      <c r="K48" s="446">
        <f t="shared" si="10"/>
        <v>0</v>
      </c>
      <c r="L48" s="447">
        <f t="shared" si="11"/>
        <v>0</v>
      </c>
    </row>
    <row r="49" spans="2:12" x14ac:dyDescent="0.25">
      <c r="B49" s="355"/>
      <c r="C49" s="356"/>
      <c r="D49" s="356"/>
      <c r="E49" s="357"/>
      <c r="F49" s="357"/>
      <c r="G49" s="449">
        <f t="shared" si="9"/>
        <v>0</v>
      </c>
      <c r="H49" s="360"/>
      <c r="I49" s="449">
        <f>1</f>
        <v>1</v>
      </c>
      <c r="J49" s="360"/>
      <c r="K49" s="446">
        <f t="shared" si="10"/>
        <v>0</v>
      </c>
      <c r="L49" s="447">
        <f t="shared" si="11"/>
        <v>0</v>
      </c>
    </row>
    <row r="50" spans="2:12" x14ac:dyDescent="0.25">
      <c r="B50" s="355"/>
      <c r="C50" s="356"/>
      <c r="D50" s="356"/>
      <c r="E50" s="357"/>
      <c r="F50" s="357"/>
      <c r="G50" s="449">
        <f t="shared" si="9"/>
        <v>0</v>
      </c>
      <c r="H50" s="360"/>
      <c r="I50" s="449">
        <f>1</f>
        <v>1</v>
      </c>
      <c r="J50" s="360"/>
      <c r="K50" s="446">
        <f t="shared" si="10"/>
        <v>0</v>
      </c>
      <c r="L50" s="447">
        <f t="shared" si="11"/>
        <v>0</v>
      </c>
    </row>
    <row r="51" spans="2:12" ht="15.75" thickBot="1" x14ac:dyDescent="0.3">
      <c r="B51" s="775"/>
      <c r="C51" s="358"/>
      <c r="D51" s="358"/>
      <c r="E51" s="358"/>
      <c r="F51" s="358"/>
      <c r="G51" s="18"/>
      <c r="H51" s="358"/>
      <c r="I51" s="18"/>
      <c r="J51" s="358"/>
      <c r="K51" s="18"/>
      <c r="L51" s="19"/>
    </row>
    <row r="52" spans="2:12" ht="15.75" thickBot="1" x14ac:dyDescent="0.3">
      <c r="H52" s="5"/>
      <c r="I52" s="5"/>
      <c r="J52" s="214" t="s">
        <v>60</v>
      </c>
      <c r="K52" s="450">
        <f>SUM(K36:K51)</f>
        <v>0</v>
      </c>
      <c r="L52" s="450">
        <f>SUM(L36:L51)</f>
        <v>0</v>
      </c>
    </row>
    <row r="53" spans="2:12" ht="15.75" thickBot="1" x14ac:dyDescent="0.3"/>
    <row r="54" spans="2:12" x14ac:dyDescent="0.25">
      <c r="B54" s="1180" t="s">
        <v>413</v>
      </c>
      <c r="C54" s="1181"/>
      <c r="D54" s="1182"/>
      <c r="E54" s="451">
        <f>K52</f>
        <v>0</v>
      </c>
      <c r="H54" s="949" t="s">
        <v>598</v>
      </c>
      <c r="I54" s="949"/>
      <c r="J54" s="949"/>
      <c r="K54" s="949"/>
      <c r="L54" s="949"/>
    </row>
    <row r="55" spans="2:12" ht="15.75" customHeight="1" thickBot="1" x14ac:dyDescent="0.3">
      <c r="B55" s="1174" t="s">
        <v>423</v>
      </c>
      <c r="C55" s="1175"/>
      <c r="D55" s="1176"/>
      <c r="E55" s="452">
        <f>L52</f>
        <v>0</v>
      </c>
      <c r="H55" s="949"/>
      <c r="I55" s="949"/>
      <c r="J55" s="949"/>
      <c r="K55" s="949"/>
      <c r="L55" s="949"/>
    </row>
  </sheetData>
  <sheetProtection algorithmName="SHA-512" hashValue="JpxWD07Ip9KudEEoUIyuXqhRczxi59cVrdaNb3y21uCXhwVPYtVS8n2R+VOQh49zGJhGc65K7tBKNXZc883IKg==" saltValue="ZAgIqQDgjSFVXNYEqwYiuQ==" spinCount="100000" sheet="1" objects="1" scenarios="1" selectLockedCells="1" sort="0" autoFilter="0"/>
  <mergeCells count="6">
    <mergeCell ref="P5:Q5"/>
    <mergeCell ref="B55:D55"/>
    <mergeCell ref="B5:F5"/>
    <mergeCell ref="G5:N5"/>
    <mergeCell ref="B54:D54"/>
    <mergeCell ref="H54:L55"/>
  </mergeCells>
  <dataValidations count="2">
    <dataValidation type="decimal" operator="greaterThanOrEqual" allowBlank="1" showInputMessage="1" showErrorMessage="1" promptTitle="Proposed Usage Factor Cap" prompt="Usage Factor should not be less than 0.70" sqref="H36:H51">
      <formula1>0.7</formula1>
    </dataValidation>
    <dataValidation type="decimal" operator="lessThanOrEqual" allowBlank="1" showInputMessage="1" showErrorMessage="1" errorTitle="Regen savings exceeds " error="Regen savings exceeds 18%, please re-key input to be &lt;18%!" promptTitle="Regen savings %" prompt="Cap at 18%" sqref="P7:P26">
      <formula1>18</formula1>
    </dataValidation>
  </dataValidations>
  <pageMargins left="0.7" right="0.7" top="0.75" bottom="0.75" header="0.3" footer="0.3"/>
  <pageSetup paperSize="8" scale="74"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C000"/>
  </sheetPr>
  <dimension ref="A1:P67"/>
  <sheetViews>
    <sheetView view="pageBreakPreview" zoomScale="85" zoomScaleNormal="80" zoomScaleSheetLayoutView="85" workbookViewId="0">
      <selection activeCell="F40" sqref="F40"/>
    </sheetView>
  </sheetViews>
  <sheetFormatPr defaultRowHeight="15" x14ac:dyDescent="0.25"/>
  <cols>
    <col min="1" max="1" width="8.42578125" customWidth="1"/>
    <col min="2" max="2" width="28.140625" customWidth="1"/>
    <col min="3" max="3" width="19" customWidth="1"/>
    <col min="4" max="4" width="18.7109375" customWidth="1"/>
    <col min="5" max="5" width="12.5703125" customWidth="1"/>
    <col min="6" max="6" width="3.42578125" customWidth="1"/>
    <col min="7" max="7" width="12.42578125" customWidth="1"/>
    <col min="8" max="8" width="3.28515625" customWidth="1"/>
    <col min="9" max="9" width="12.42578125" customWidth="1"/>
    <col min="10" max="10" width="2.7109375" customWidth="1"/>
    <col min="11" max="11" width="13.42578125" customWidth="1"/>
    <col min="12" max="12" width="36.85546875" customWidth="1"/>
  </cols>
  <sheetData>
    <row r="1" spans="1:12" s="192" customFormat="1" ht="15.75" x14ac:dyDescent="0.25">
      <c r="A1" s="20"/>
      <c r="B1" s="20" t="s">
        <v>300</v>
      </c>
      <c r="C1" s="20"/>
      <c r="D1" s="20"/>
      <c r="E1" s="20"/>
      <c r="F1" s="20"/>
      <c r="G1" s="20"/>
      <c r="H1" s="20"/>
      <c r="I1" s="20"/>
      <c r="J1" s="20"/>
      <c r="K1" s="20"/>
      <c r="L1" s="60"/>
    </row>
    <row r="2" spans="1:12" x14ac:dyDescent="0.25">
      <c r="B2" s="153"/>
      <c r="L2" s="2"/>
    </row>
    <row r="3" spans="1:12" x14ac:dyDescent="0.25">
      <c r="B3" s="188" t="s">
        <v>345</v>
      </c>
      <c r="C3" s="361">
        <v>25</v>
      </c>
      <c r="D3" s="190" t="s">
        <v>346</v>
      </c>
      <c r="L3" s="2"/>
    </row>
    <row r="4" spans="1:12" x14ac:dyDescent="0.25">
      <c r="B4" s="188" t="s">
        <v>347</v>
      </c>
      <c r="C4" s="361">
        <v>60</v>
      </c>
      <c r="D4" s="190" t="s">
        <v>346</v>
      </c>
      <c r="L4" s="2"/>
    </row>
    <row r="5" spans="1:12" x14ac:dyDescent="0.25">
      <c r="B5" s="188" t="s">
        <v>348</v>
      </c>
      <c r="C5" s="421">
        <f>C4-C3</f>
        <v>35</v>
      </c>
      <c r="D5" s="190" t="s">
        <v>349</v>
      </c>
      <c r="L5" s="2"/>
    </row>
    <row r="6" spans="1:12" ht="15.75" thickBot="1" x14ac:dyDescent="0.3">
      <c r="B6" s="153"/>
      <c r="L6" s="2"/>
    </row>
    <row r="7" spans="1:12" x14ac:dyDescent="0.25">
      <c r="B7" s="1195" t="s">
        <v>301</v>
      </c>
      <c r="C7" s="1196"/>
      <c r="D7" s="1196"/>
      <c r="E7" s="1196"/>
      <c r="F7" s="1196"/>
      <c r="G7" s="1196"/>
      <c r="H7" s="1196"/>
      <c r="I7" s="1196"/>
      <c r="J7" s="1196"/>
      <c r="K7" s="1197"/>
      <c r="L7" s="193" t="s">
        <v>302</v>
      </c>
    </row>
    <row r="8" spans="1:12" s="2" customFormat="1" x14ac:dyDescent="0.25">
      <c r="B8" s="183" t="s">
        <v>361</v>
      </c>
      <c r="C8" s="409">
        <v>40</v>
      </c>
      <c r="D8" s="190" t="s">
        <v>346</v>
      </c>
      <c r="E8" s="184"/>
      <c r="F8" s="184"/>
      <c r="G8" s="184"/>
      <c r="H8" s="184"/>
      <c r="I8" s="184"/>
      <c r="J8" s="184"/>
      <c r="K8" s="184"/>
      <c r="L8" s="185" t="s">
        <v>362</v>
      </c>
    </row>
    <row r="9" spans="1:12" s="2" customFormat="1" ht="45" x14ac:dyDescent="0.25">
      <c r="B9" s="183" t="s">
        <v>303</v>
      </c>
      <c r="C9" s="184" t="s">
        <v>304</v>
      </c>
      <c r="D9" s="184" t="s">
        <v>305</v>
      </c>
      <c r="E9" s="184" t="s">
        <v>306</v>
      </c>
      <c r="F9" s="184" t="s">
        <v>305</v>
      </c>
      <c r="G9" s="184" t="s">
        <v>307</v>
      </c>
      <c r="H9" s="184" t="s">
        <v>305</v>
      </c>
      <c r="I9" s="184" t="s">
        <v>308</v>
      </c>
      <c r="J9" s="184" t="s">
        <v>305</v>
      </c>
      <c r="K9" s="184" t="s">
        <v>309</v>
      </c>
      <c r="L9" s="1185"/>
    </row>
    <row r="10" spans="1:12" x14ac:dyDescent="0.25">
      <c r="B10" s="186" t="s">
        <v>310</v>
      </c>
      <c r="C10" s="363">
        <v>0</v>
      </c>
      <c r="D10" s="318" t="s">
        <v>305</v>
      </c>
      <c r="E10" s="363"/>
      <c r="F10" s="318" t="s">
        <v>305</v>
      </c>
      <c r="G10" s="373">
        <f>10</f>
        <v>10</v>
      </c>
      <c r="H10" s="318" t="s">
        <v>305</v>
      </c>
      <c r="I10" s="373">
        <f>2</f>
        <v>2</v>
      </c>
      <c r="J10" s="87" t="s">
        <v>305</v>
      </c>
      <c r="K10" s="371">
        <f>IF(C8&gt;60,100,(C8-$C$3)/($C$4-$C$3)*100)</f>
        <v>42.857142857142854</v>
      </c>
      <c r="L10" s="1186"/>
    </row>
    <row r="11" spans="1:12" x14ac:dyDescent="0.25">
      <c r="B11" s="186" t="s">
        <v>310</v>
      </c>
      <c r="C11" s="422">
        <f>C10*E10*G10*I10*K10/100</f>
        <v>0</v>
      </c>
      <c r="D11" s="87" t="s">
        <v>311</v>
      </c>
      <c r="E11" s="87"/>
      <c r="F11" s="87"/>
      <c r="G11" s="205"/>
      <c r="H11" s="87"/>
      <c r="I11" s="87"/>
      <c r="J11" s="87"/>
      <c r="K11" s="87"/>
      <c r="L11" s="1186"/>
    </row>
    <row r="12" spans="1:12" ht="15.75" thickBot="1" x14ac:dyDescent="0.3">
      <c r="B12" s="187"/>
      <c r="C12" s="88"/>
      <c r="D12" s="88"/>
      <c r="E12" s="88"/>
      <c r="F12" s="88"/>
      <c r="G12" s="88"/>
      <c r="H12" s="88"/>
      <c r="I12" s="88"/>
      <c r="J12" s="88"/>
      <c r="K12" s="88"/>
      <c r="L12" s="1187"/>
    </row>
    <row r="13" spans="1:12" x14ac:dyDescent="0.25">
      <c r="B13" s="194" t="s">
        <v>312</v>
      </c>
      <c r="C13" s="195"/>
      <c r="D13" s="195"/>
      <c r="E13" s="195"/>
      <c r="F13" s="195"/>
      <c r="G13" s="195"/>
      <c r="H13" s="195"/>
      <c r="I13" s="195"/>
      <c r="J13" s="195"/>
      <c r="K13" s="196"/>
      <c r="L13" s="197"/>
    </row>
    <row r="14" spans="1:12" s="2" customFormat="1" x14ac:dyDescent="0.25">
      <c r="B14" s="183" t="s">
        <v>361</v>
      </c>
      <c r="C14" s="409">
        <v>60</v>
      </c>
      <c r="D14" s="190" t="s">
        <v>346</v>
      </c>
      <c r="E14" s="184"/>
      <c r="F14" s="184"/>
      <c r="G14" s="184"/>
      <c r="H14" s="184"/>
      <c r="I14" s="184"/>
      <c r="J14" s="184"/>
      <c r="K14" s="184"/>
      <c r="L14" s="185" t="s">
        <v>363</v>
      </c>
    </row>
    <row r="15" spans="1:12" s="2" customFormat="1" ht="45" x14ac:dyDescent="0.25">
      <c r="B15" s="183" t="s">
        <v>313</v>
      </c>
      <c r="C15" s="184" t="s">
        <v>314</v>
      </c>
      <c r="D15" s="184" t="s">
        <v>305</v>
      </c>
      <c r="E15" s="184" t="s">
        <v>315</v>
      </c>
      <c r="F15" s="184" t="s">
        <v>305</v>
      </c>
      <c r="G15" s="184" t="s">
        <v>316</v>
      </c>
      <c r="H15" s="184" t="s">
        <v>305</v>
      </c>
      <c r="I15" s="184" t="s">
        <v>317</v>
      </c>
      <c r="J15" s="184" t="s">
        <v>305</v>
      </c>
      <c r="K15" s="184" t="s">
        <v>309</v>
      </c>
      <c r="L15" s="206" t="s">
        <v>364</v>
      </c>
    </row>
    <row r="16" spans="1:12" x14ac:dyDescent="0.25">
      <c r="B16" s="186" t="s">
        <v>310</v>
      </c>
      <c r="C16" s="363">
        <v>0</v>
      </c>
      <c r="D16" s="372" t="s">
        <v>305</v>
      </c>
      <c r="E16" s="363"/>
      <c r="F16" s="372" t="s">
        <v>305</v>
      </c>
      <c r="G16" s="373">
        <f>30</f>
        <v>30</v>
      </c>
      <c r="H16" s="372" t="s">
        <v>305</v>
      </c>
      <c r="I16" s="373">
        <f>3</f>
        <v>3</v>
      </c>
      <c r="J16" s="87" t="s">
        <v>305</v>
      </c>
      <c r="K16" s="371">
        <f>IF(C14&gt;C4,100,(C14-$C$3)/($C$4-$C$3)*100)</f>
        <v>100</v>
      </c>
      <c r="L16" s="1186"/>
    </row>
    <row r="17" spans="2:12" x14ac:dyDescent="0.25">
      <c r="B17" s="186" t="s">
        <v>310</v>
      </c>
      <c r="C17" s="422">
        <f>C16*E16*G16*I16*K16/100</f>
        <v>0</v>
      </c>
      <c r="D17" s="87" t="s">
        <v>311</v>
      </c>
      <c r="E17" s="87"/>
      <c r="F17" s="87"/>
      <c r="G17" s="87"/>
      <c r="H17" s="87"/>
      <c r="I17" s="87"/>
      <c r="J17" s="87"/>
      <c r="K17" s="87"/>
      <c r="L17" s="1186"/>
    </row>
    <row r="18" spans="2:12" ht="15.75" thickBot="1" x14ac:dyDescent="0.3">
      <c r="B18" s="187"/>
      <c r="C18" s="88"/>
      <c r="D18" s="88"/>
      <c r="E18" s="88"/>
      <c r="F18" s="88"/>
      <c r="G18" s="88"/>
      <c r="H18" s="88"/>
      <c r="I18" s="88"/>
      <c r="J18" s="88"/>
      <c r="K18" s="88"/>
      <c r="L18" s="1187"/>
    </row>
    <row r="19" spans="2:12" x14ac:dyDescent="0.25">
      <c r="B19" s="194" t="s">
        <v>318</v>
      </c>
      <c r="C19" s="195"/>
      <c r="D19" s="195"/>
      <c r="E19" s="195"/>
      <c r="F19" s="195"/>
      <c r="G19" s="195"/>
      <c r="H19" s="195"/>
      <c r="I19" s="195"/>
      <c r="J19" s="195"/>
      <c r="K19" s="196"/>
      <c r="L19" s="197"/>
    </row>
    <row r="20" spans="2:12" s="2" customFormat="1" x14ac:dyDescent="0.25">
      <c r="B20" s="183" t="s">
        <v>361</v>
      </c>
      <c r="C20" s="410">
        <v>60</v>
      </c>
      <c r="D20" s="190" t="s">
        <v>346</v>
      </c>
      <c r="E20" s="184"/>
      <c r="F20" s="184"/>
      <c r="G20" s="184"/>
      <c r="H20" s="184"/>
      <c r="I20" s="184"/>
      <c r="J20" s="184"/>
      <c r="K20" s="184"/>
      <c r="L20" s="185" t="s">
        <v>363</v>
      </c>
    </row>
    <row r="21" spans="2:12" s="2" customFormat="1" ht="60" x14ac:dyDescent="0.25">
      <c r="B21" s="183" t="s">
        <v>319</v>
      </c>
      <c r="C21" s="184" t="s">
        <v>320</v>
      </c>
      <c r="D21" s="184" t="s">
        <v>305</v>
      </c>
      <c r="E21" s="184" t="s">
        <v>321</v>
      </c>
      <c r="F21" s="184" t="s">
        <v>305</v>
      </c>
      <c r="G21" s="184" t="s">
        <v>322</v>
      </c>
      <c r="H21" s="184" t="s">
        <v>305</v>
      </c>
      <c r="I21" s="184" t="s">
        <v>317</v>
      </c>
      <c r="J21" s="184" t="s">
        <v>305</v>
      </c>
      <c r="K21" s="184" t="s">
        <v>309</v>
      </c>
      <c r="L21" s="206" t="s">
        <v>364</v>
      </c>
    </row>
    <row r="22" spans="2:12" x14ac:dyDescent="0.25">
      <c r="B22" s="186" t="s">
        <v>310</v>
      </c>
      <c r="C22" s="363">
        <v>0</v>
      </c>
      <c r="D22" s="318" t="s">
        <v>305</v>
      </c>
      <c r="E22" s="363"/>
      <c r="F22" s="318" t="s">
        <v>305</v>
      </c>
      <c r="G22" s="373">
        <f>10</f>
        <v>10</v>
      </c>
      <c r="H22" s="318" t="s">
        <v>305</v>
      </c>
      <c r="I22" s="373">
        <f>20</f>
        <v>20</v>
      </c>
      <c r="J22" s="87" t="s">
        <v>305</v>
      </c>
      <c r="K22" s="371">
        <f>IF(C20&gt;C4,100,(C20-$C$3)/($C$4-$C$3)*100)</f>
        <v>100</v>
      </c>
      <c r="L22" s="1186"/>
    </row>
    <row r="23" spans="2:12" x14ac:dyDescent="0.25">
      <c r="B23" s="186" t="s">
        <v>310</v>
      </c>
      <c r="C23" s="422">
        <f>C22*E22*G22*I22*K22/100</f>
        <v>0</v>
      </c>
      <c r="D23" s="87" t="s">
        <v>311</v>
      </c>
      <c r="E23" s="87"/>
      <c r="F23" s="87"/>
      <c r="G23" s="87"/>
      <c r="H23" s="87"/>
      <c r="I23" s="87"/>
      <c r="J23" s="87"/>
      <c r="K23" s="87"/>
      <c r="L23" s="1186"/>
    </row>
    <row r="24" spans="2:12" ht="15.75" thickBot="1" x14ac:dyDescent="0.3">
      <c r="B24" s="187"/>
      <c r="C24" s="88"/>
      <c r="D24" s="88"/>
      <c r="E24" s="88"/>
      <c r="F24" s="88"/>
      <c r="G24" s="88"/>
      <c r="H24" s="88"/>
      <c r="I24" s="88"/>
      <c r="J24" s="88"/>
      <c r="K24" s="88"/>
      <c r="L24" s="1187"/>
    </row>
    <row r="25" spans="2:12" x14ac:dyDescent="0.25">
      <c r="B25" s="194" t="s">
        <v>323</v>
      </c>
      <c r="C25" s="195"/>
      <c r="D25" s="195"/>
      <c r="E25" s="195"/>
      <c r="F25" s="195"/>
      <c r="G25" s="195"/>
      <c r="H25" s="195"/>
      <c r="I25" s="195"/>
      <c r="J25" s="195"/>
      <c r="K25" s="196"/>
      <c r="L25" s="197"/>
    </row>
    <row r="26" spans="2:12" s="2" customFormat="1" x14ac:dyDescent="0.25">
      <c r="B26" s="183" t="s">
        <v>361</v>
      </c>
      <c r="C26" s="410">
        <v>60</v>
      </c>
      <c r="D26" s="190" t="s">
        <v>346</v>
      </c>
      <c r="E26" s="184"/>
      <c r="F26" s="184"/>
      <c r="G26" s="184"/>
      <c r="H26" s="184"/>
      <c r="I26" s="184"/>
      <c r="J26" s="184"/>
      <c r="K26" s="184"/>
      <c r="L26" s="185" t="s">
        <v>363</v>
      </c>
    </row>
    <row r="27" spans="2:12" s="2" customFormat="1" ht="60" x14ac:dyDescent="0.25">
      <c r="B27" s="183" t="s">
        <v>324</v>
      </c>
      <c r="C27" s="184" t="s">
        <v>325</v>
      </c>
      <c r="D27" s="184" t="s">
        <v>305</v>
      </c>
      <c r="E27" s="184" t="s">
        <v>326</v>
      </c>
      <c r="F27" s="184" t="s">
        <v>305</v>
      </c>
      <c r="G27" s="184" t="s">
        <v>322</v>
      </c>
      <c r="H27" s="184" t="s">
        <v>305</v>
      </c>
      <c r="I27" s="184" t="s">
        <v>317</v>
      </c>
      <c r="J27" s="184" t="s">
        <v>305</v>
      </c>
      <c r="K27" s="184" t="s">
        <v>309</v>
      </c>
      <c r="L27" s="206" t="s">
        <v>364</v>
      </c>
    </row>
    <row r="28" spans="2:12" x14ac:dyDescent="0.25">
      <c r="B28" s="186" t="s">
        <v>310</v>
      </c>
      <c r="C28" s="363">
        <v>0</v>
      </c>
      <c r="D28" s="318" t="s">
        <v>305</v>
      </c>
      <c r="E28" s="363"/>
      <c r="F28" s="318" t="s">
        <v>305</v>
      </c>
      <c r="G28" s="373">
        <f>10</f>
        <v>10</v>
      </c>
      <c r="H28" s="318" t="s">
        <v>305</v>
      </c>
      <c r="I28" s="373">
        <f>20</f>
        <v>20</v>
      </c>
      <c r="J28" s="87" t="s">
        <v>305</v>
      </c>
      <c r="K28" s="371">
        <f>IF(C26&gt;C4,100,(C26-$C$3)/($C$4-$C$3)*100)</f>
        <v>100</v>
      </c>
      <c r="L28" s="1186"/>
    </row>
    <row r="29" spans="2:12" x14ac:dyDescent="0.25">
      <c r="B29" s="186" t="s">
        <v>310</v>
      </c>
      <c r="C29" s="422">
        <f>C28*E28*G28*I28*K28/100</f>
        <v>0</v>
      </c>
      <c r="D29" s="87" t="s">
        <v>311</v>
      </c>
      <c r="E29" s="87"/>
      <c r="F29" s="87"/>
      <c r="G29" s="87"/>
      <c r="H29" s="87"/>
      <c r="I29" s="87"/>
      <c r="J29" s="87"/>
      <c r="K29" s="87"/>
      <c r="L29" s="1186"/>
    </row>
    <row r="30" spans="2:12" ht="15.75" thickBot="1" x14ac:dyDescent="0.3">
      <c r="B30" s="187"/>
      <c r="C30" s="88"/>
      <c r="D30" s="88"/>
      <c r="E30" s="88"/>
      <c r="F30" s="88"/>
      <c r="G30" s="88"/>
      <c r="H30" s="88"/>
      <c r="I30" s="88"/>
      <c r="J30" s="88"/>
      <c r="K30" s="88"/>
      <c r="L30" s="1187"/>
    </row>
    <row r="31" spans="2:12" x14ac:dyDescent="0.25">
      <c r="B31" s="194" t="s">
        <v>365</v>
      </c>
      <c r="C31" s="195" t="s">
        <v>373</v>
      </c>
      <c r="D31" s="195"/>
      <c r="E31" s="195"/>
      <c r="F31" s="195"/>
      <c r="G31" s="195"/>
      <c r="H31" s="195"/>
      <c r="I31" s="195"/>
      <c r="J31" s="195"/>
      <c r="K31" s="196"/>
      <c r="L31" s="197"/>
    </row>
    <row r="32" spans="2:12" s="2" customFormat="1" x14ac:dyDescent="0.25">
      <c r="B32" s="364" t="s">
        <v>361</v>
      </c>
      <c r="C32" s="409">
        <v>60</v>
      </c>
      <c r="D32" s="784" t="s">
        <v>346</v>
      </c>
      <c r="E32" s="785"/>
      <c r="F32" s="785"/>
      <c r="G32" s="785"/>
      <c r="H32" s="785"/>
      <c r="I32" s="785"/>
      <c r="J32" s="785"/>
      <c r="K32" s="785"/>
      <c r="L32" s="786"/>
    </row>
    <row r="33" spans="2:12" s="2" customFormat="1" ht="45" x14ac:dyDescent="0.25">
      <c r="B33" s="408" t="s">
        <v>327</v>
      </c>
      <c r="C33" s="785" t="s">
        <v>328</v>
      </c>
      <c r="D33" s="785" t="s">
        <v>305</v>
      </c>
      <c r="E33" s="785" t="s">
        <v>329</v>
      </c>
      <c r="F33" s="785" t="s">
        <v>305</v>
      </c>
      <c r="G33" s="785" t="s">
        <v>330</v>
      </c>
      <c r="H33" s="785" t="s">
        <v>305</v>
      </c>
      <c r="I33" s="785" t="s">
        <v>331</v>
      </c>
      <c r="J33" s="785" t="s">
        <v>305</v>
      </c>
      <c r="K33" s="785" t="s">
        <v>309</v>
      </c>
      <c r="L33" s="787" t="s">
        <v>364</v>
      </c>
    </row>
    <row r="34" spans="2:12" x14ac:dyDescent="0.25">
      <c r="B34" s="365" t="s">
        <v>310</v>
      </c>
      <c r="C34" s="363">
        <v>0</v>
      </c>
      <c r="D34" s="372" t="s">
        <v>305</v>
      </c>
      <c r="E34" s="363"/>
      <c r="F34" s="318" t="s">
        <v>305</v>
      </c>
      <c r="G34" s="363"/>
      <c r="H34" s="318" t="s">
        <v>305</v>
      </c>
      <c r="I34" s="363"/>
      <c r="J34" s="318" t="s">
        <v>305</v>
      </c>
      <c r="K34" s="371">
        <f>IF(C32&gt;C4,100,(C32-$C$3)/($C$4-$C$3)*100)</f>
        <v>100</v>
      </c>
      <c r="L34" s="1185"/>
    </row>
    <row r="35" spans="2:12" x14ac:dyDescent="0.25">
      <c r="B35" s="365" t="s">
        <v>310</v>
      </c>
      <c r="C35" s="422">
        <f>C34*E34*G34*I34*K34/100</f>
        <v>0</v>
      </c>
      <c r="D35" s="372" t="s">
        <v>311</v>
      </c>
      <c r="E35" s="318"/>
      <c r="F35" s="318"/>
      <c r="G35" s="318"/>
      <c r="H35" s="318"/>
      <c r="I35" s="318"/>
      <c r="J35" s="318"/>
      <c r="K35" s="318"/>
      <c r="L35" s="1186"/>
    </row>
    <row r="36" spans="2:12" ht="15.75" thickBot="1" x14ac:dyDescent="0.3">
      <c r="B36" s="366"/>
      <c r="C36" s="317"/>
      <c r="D36" s="317"/>
      <c r="E36" s="317"/>
      <c r="F36" s="317"/>
      <c r="G36" s="317"/>
      <c r="H36" s="317"/>
      <c r="I36" s="317"/>
      <c r="J36" s="317"/>
      <c r="K36" s="317"/>
      <c r="L36" s="1187"/>
    </row>
    <row r="37" spans="2:12" x14ac:dyDescent="0.25">
      <c r="B37" s="367" t="s">
        <v>366</v>
      </c>
      <c r="C37" s="368"/>
      <c r="D37" s="368"/>
      <c r="E37" s="368"/>
      <c r="F37" s="368"/>
      <c r="G37" s="368"/>
      <c r="H37" s="368"/>
      <c r="I37" s="368"/>
      <c r="J37" s="368"/>
      <c r="K37" s="369"/>
      <c r="L37" s="370"/>
    </row>
    <row r="38" spans="2:12" s="2" customFormat="1" x14ac:dyDescent="0.25">
      <c r="B38" s="364" t="s">
        <v>361</v>
      </c>
      <c r="C38" s="409">
        <v>60</v>
      </c>
      <c r="D38" s="784" t="s">
        <v>346</v>
      </c>
      <c r="E38" s="785"/>
      <c r="F38" s="785"/>
      <c r="G38" s="785"/>
      <c r="H38" s="785"/>
      <c r="I38" s="785"/>
      <c r="J38" s="785"/>
      <c r="K38" s="785"/>
      <c r="L38" s="786"/>
    </row>
    <row r="39" spans="2:12" s="2" customFormat="1" ht="45" x14ac:dyDescent="0.25">
      <c r="B39" s="408" t="s">
        <v>327</v>
      </c>
      <c r="C39" s="785" t="s">
        <v>328</v>
      </c>
      <c r="D39" s="785" t="s">
        <v>305</v>
      </c>
      <c r="E39" s="785" t="s">
        <v>329</v>
      </c>
      <c r="F39" s="785" t="s">
        <v>305</v>
      </c>
      <c r="G39" s="785" t="s">
        <v>330</v>
      </c>
      <c r="H39" s="785" t="s">
        <v>305</v>
      </c>
      <c r="I39" s="785" t="s">
        <v>331</v>
      </c>
      <c r="J39" s="785" t="s">
        <v>305</v>
      </c>
      <c r="K39" s="785" t="s">
        <v>309</v>
      </c>
      <c r="L39" s="787" t="s">
        <v>364</v>
      </c>
    </row>
    <row r="40" spans="2:12" x14ac:dyDescent="0.25">
      <c r="B40" s="365" t="s">
        <v>310</v>
      </c>
      <c r="C40" s="363">
        <v>0</v>
      </c>
      <c r="D40" s="372" t="s">
        <v>305</v>
      </c>
      <c r="E40" s="363"/>
      <c r="F40" s="318" t="s">
        <v>305</v>
      </c>
      <c r="G40" s="363"/>
      <c r="H40" s="318" t="s">
        <v>305</v>
      </c>
      <c r="I40" s="363"/>
      <c r="J40" s="318" t="s">
        <v>305</v>
      </c>
      <c r="K40" s="371">
        <f>IF(C38&gt;C4,100,(C38-$C$3)/($C$4-$C$3)*100)</f>
        <v>100</v>
      </c>
      <c r="L40" s="1185"/>
    </row>
    <row r="41" spans="2:12" x14ac:dyDescent="0.25">
      <c r="B41" s="365" t="s">
        <v>310</v>
      </c>
      <c r="C41" s="422">
        <f>C40*E40*G40*I40*K40/100</f>
        <v>0</v>
      </c>
      <c r="D41" s="372" t="s">
        <v>311</v>
      </c>
      <c r="E41" s="318"/>
      <c r="F41" s="318"/>
      <c r="G41" s="318"/>
      <c r="H41" s="318"/>
      <c r="I41" s="318"/>
      <c r="J41" s="318"/>
      <c r="K41" s="318"/>
      <c r="L41" s="1186"/>
    </row>
    <row r="42" spans="2:12" ht="15.75" thickBot="1" x14ac:dyDescent="0.3">
      <c r="B42" s="366"/>
      <c r="C42" s="317"/>
      <c r="D42" s="317"/>
      <c r="E42" s="317"/>
      <c r="F42" s="317"/>
      <c r="G42" s="317"/>
      <c r="H42" s="317"/>
      <c r="I42" s="317"/>
      <c r="J42" s="317"/>
      <c r="K42" s="317"/>
      <c r="L42" s="1187"/>
    </row>
    <row r="43" spans="2:12" x14ac:dyDescent="0.25">
      <c r="B43" s="367" t="s">
        <v>367</v>
      </c>
      <c r="C43" s="368"/>
      <c r="D43" s="368"/>
      <c r="E43" s="368"/>
      <c r="F43" s="368"/>
      <c r="G43" s="368"/>
      <c r="H43" s="368"/>
      <c r="I43" s="368"/>
      <c r="J43" s="368"/>
      <c r="K43" s="369"/>
      <c r="L43" s="370"/>
    </row>
    <row r="44" spans="2:12" s="2" customFormat="1" x14ac:dyDescent="0.25">
      <c r="B44" s="364" t="s">
        <v>361</v>
      </c>
      <c r="C44" s="409">
        <v>60</v>
      </c>
      <c r="D44" s="784" t="s">
        <v>346</v>
      </c>
      <c r="E44" s="785"/>
      <c r="F44" s="785"/>
      <c r="G44" s="785"/>
      <c r="H44" s="785"/>
      <c r="I44" s="785"/>
      <c r="J44" s="785"/>
      <c r="K44" s="785"/>
      <c r="L44" s="786"/>
    </row>
    <row r="45" spans="2:12" s="2" customFormat="1" ht="45" x14ac:dyDescent="0.25">
      <c r="B45" s="408" t="s">
        <v>327</v>
      </c>
      <c r="C45" s="785" t="s">
        <v>328</v>
      </c>
      <c r="D45" s="785" t="s">
        <v>305</v>
      </c>
      <c r="E45" s="785" t="s">
        <v>329</v>
      </c>
      <c r="F45" s="785" t="s">
        <v>305</v>
      </c>
      <c r="G45" s="785" t="s">
        <v>330</v>
      </c>
      <c r="H45" s="785" t="s">
        <v>305</v>
      </c>
      <c r="I45" s="785" t="s">
        <v>331</v>
      </c>
      <c r="J45" s="785" t="s">
        <v>305</v>
      </c>
      <c r="K45" s="785" t="s">
        <v>309</v>
      </c>
      <c r="L45" s="787" t="s">
        <v>364</v>
      </c>
    </row>
    <row r="46" spans="2:12" x14ac:dyDescent="0.25">
      <c r="B46" s="365" t="s">
        <v>310</v>
      </c>
      <c r="C46" s="363">
        <v>0</v>
      </c>
      <c r="D46" s="372" t="s">
        <v>305</v>
      </c>
      <c r="E46" s="363"/>
      <c r="F46" s="318" t="s">
        <v>305</v>
      </c>
      <c r="G46" s="363"/>
      <c r="H46" s="318" t="s">
        <v>305</v>
      </c>
      <c r="I46" s="363"/>
      <c r="J46" s="318" t="s">
        <v>305</v>
      </c>
      <c r="K46" s="371">
        <f>IF(C44&gt;C4,100,(C44-$C$3)/($C$4-$C$3)*100)</f>
        <v>100</v>
      </c>
      <c r="L46" s="1185"/>
    </row>
    <row r="47" spans="2:12" x14ac:dyDescent="0.25">
      <c r="B47" s="365" t="s">
        <v>310</v>
      </c>
      <c r="C47" s="422">
        <f>C46*E46*G46*I46*K46/100</f>
        <v>0</v>
      </c>
      <c r="D47" s="372" t="s">
        <v>311</v>
      </c>
      <c r="E47" s="318"/>
      <c r="F47" s="318"/>
      <c r="G47" s="318"/>
      <c r="H47" s="318"/>
      <c r="I47" s="318"/>
      <c r="J47" s="318"/>
      <c r="K47" s="318"/>
      <c r="L47" s="1186"/>
    </row>
    <row r="48" spans="2:12" ht="15.75" thickBot="1" x14ac:dyDescent="0.3">
      <c r="B48" s="366"/>
      <c r="C48" s="317"/>
      <c r="D48" s="317"/>
      <c r="E48" s="317"/>
      <c r="F48" s="317"/>
      <c r="G48" s="317"/>
      <c r="H48" s="317"/>
      <c r="I48" s="317"/>
      <c r="J48" s="317"/>
      <c r="K48" s="317"/>
      <c r="L48" s="1187"/>
    </row>
    <row r="49" spans="2:12" x14ac:dyDescent="0.25">
      <c r="B49" s="153"/>
      <c r="L49" s="2"/>
    </row>
    <row r="50" spans="2:12" ht="15.75" thickBot="1" x14ac:dyDescent="0.3">
      <c r="B50" s="153"/>
      <c r="L50" s="2"/>
    </row>
    <row r="51" spans="2:12" x14ac:dyDescent="0.25">
      <c r="B51" s="198" t="s">
        <v>332</v>
      </c>
      <c r="C51" s="423">
        <f>C11+C17+C23+C29+C35+C41+C47</f>
        <v>0</v>
      </c>
      <c r="D51" s="14" t="s">
        <v>311</v>
      </c>
      <c r="L51" s="2"/>
    </row>
    <row r="52" spans="2:12" x14ac:dyDescent="0.25">
      <c r="B52" s="207" t="s">
        <v>333</v>
      </c>
      <c r="C52" s="424">
        <f>C51/1000</f>
        <v>0</v>
      </c>
      <c r="D52" s="16" t="s">
        <v>334</v>
      </c>
      <c r="L52" s="2"/>
    </row>
    <row r="53" spans="2:12" ht="15.75" thickBot="1" x14ac:dyDescent="0.3">
      <c r="B53" s="208"/>
      <c r="C53" s="209"/>
      <c r="D53" s="19"/>
      <c r="L53" s="2"/>
    </row>
    <row r="54" spans="2:12" x14ac:dyDescent="0.25">
      <c r="B54" s="198" t="s">
        <v>335</v>
      </c>
      <c r="C54" s="425">
        <f>I55*I56*C5</f>
        <v>0</v>
      </c>
      <c r="D54" s="14" t="s">
        <v>336</v>
      </c>
      <c r="H54" s="188" t="s">
        <v>337</v>
      </c>
      <c r="I54" s="189" t="s">
        <v>338</v>
      </c>
      <c r="J54" s="189"/>
      <c r="K54" s="189"/>
      <c r="L54" s="2"/>
    </row>
    <row r="55" spans="2:12" x14ac:dyDescent="0.25">
      <c r="B55" s="207" t="s">
        <v>310</v>
      </c>
      <c r="C55" s="426">
        <f>C54/(60*60)</f>
        <v>0</v>
      </c>
      <c r="D55" s="16" t="s">
        <v>339</v>
      </c>
      <c r="H55" s="188" t="s">
        <v>340</v>
      </c>
      <c r="I55" s="428">
        <f>C52*1000</f>
        <v>0</v>
      </c>
      <c r="J55" s="189" t="s">
        <v>341</v>
      </c>
      <c r="K55" s="189" t="s">
        <v>342</v>
      </c>
      <c r="L55" s="2"/>
    </row>
    <row r="56" spans="2:12" ht="15.75" thickBot="1" x14ac:dyDescent="0.3">
      <c r="B56" s="199" t="s">
        <v>310</v>
      </c>
      <c r="C56" s="427">
        <f>C55*C66</f>
        <v>0</v>
      </c>
      <c r="D56" s="19" t="s">
        <v>355</v>
      </c>
      <c r="H56" s="188" t="s">
        <v>343</v>
      </c>
      <c r="I56" s="421">
        <f>4.2</f>
        <v>4.2</v>
      </c>
      <c r="J56" s="189" t="s">
        <v>344</v>
      </c>
      <c r="K56" s="189"/>
      <c r="L56" s="2"/>
    </row>
    <row r="57" spans="2:12" x14ac:dyDescent="0.25">
      <c r="B57" s="153"/>
      <c r="K57" s="189"/>
      <c r="L57" s="2"/>
    </row>
    <row r="58" spans="2:12" x14ac:dyDescent="0.25">
      <c r="B58" s="153"/>
      <c r="K58" s="189"/>
      <c r="L58" s="2"/>
    </row>
    <row r="59" spans="2:12" ht="15.75" thickBot="1" x14ac:dyDescent="0.3">
      <c r="B59" s="153"/>
      <c r="K59" s="189"/>
      <c r="L59" s="2"/>
    </row>
    <row r="60" spans="2:12" ht="45" x14ac:dyDescent="0.25">
      <c r="B60" s="610" t="s">
        <v>602</v>
      </c>
      <c r="C60" s="624"/>
      <c r="L60" s="2"/>
    </row>
    <row r="61" spans="2:12" ht="15.75" thickBot="1" x14ac:dyDescent="0.3">
      <c r="B61" s="191" t="s">
        <v>350</v>
      </c>
      <c r="C61" s="5"/>
      <c r="D61" s="5"/>
      <c r="E61" s="5"/>
      <c r="G61" t="s">
        <v>372</v>
      </c>
      <c r="L61" s="2"/>
    </row>
    <row r="62" spans="2:12" ht="75" customHeight="1" x14ac:dyDescent="0.25">
      <c r="B62" s="200" t="s">
        <v>481</v>
      </c>
      <c r="C62" s="362"/>
      <c r="D62" s="429" t="str">
        <f>"=&gt; assumes 1 kW produce  " &amp; C62&amp;"kW waste heat"</f>
        <v>=&gt; assumes 1 kW produce  kW waste heat</v>
      </c>
      <c r="E62" s="5"/>
      <c r="G62" s="1191" t="s">
        <v>370</v>
      </c>
      <c r="H62" s="1192"/>
      <c r="I62" s="1192"/>
      <c r="J62" s="1188">
        <v>0</v>
      </c>
      <c r="K62" s="1188"/>
      <c r="L62" s="210" t="s">
        <v>371</v>
      </c>
    </row>
    <row r="63" spans="2:12" ht="60.75" customHeight="1" thickBot="1" x14ac:dyDescent="0.3">
      <c r="B63" s="201" t="s">
        <v>351</v>
      </c>
      <c r="C63" s="430">
        <f>IF(OR(C62=" ",C62=0),0,(C55/(C62))*C66)</f>
        <v>0</v>
      </c>
      <c r="D63" s="19" t="s">
        <v>355</v>
      </c>
      <c r="E63" s="5"/>
      <c r="G63" s="1193" t="s">
        <v>369</v>
      </c>
      <c r="H63" s="1194"/>
      <c r="I63" s="1194"/>
      <c r="J63" s="1190">
        <v>0</v>
      </c>
      <c r="K63" s="1190"/>
      <c r="L63" s="211" t="s">
        <v>371</v>
      </c>
    </row>
    <row r="64" spans="2:12" ht="60" customHeight="1" thickBot="1" x14ac:dyDescent="0.3">
      <c r="B64" s="200" t="s">
        <v>424</v>
      </c>
      <c r="C64" s="431">
        <f>IF(C60="Hotel",3.2,1)</f>
        <v>1</v>
      </c>
      <c r="D64" s="19"/>
      <c r="E64" s="5"/>
      <c r="G64" s="1183" t="s">
        <v>482</v>
      </c>
      <c r="H64" s="1184"/>
      <c r="I64" s="1184"/>
      <c r="J64" s="1189" t="str">
        <f>IF(OR(J62=" ",J62=0,J63=" ",J63=0),"-",J62/J63)</f>
        <v>-</v>
      </c>
      <c r="K64" s="1189"/>
      <c r="L64" s="212"/>
    </row>
    <row r="65" spans="2:16" ht="60.75" customHeight="1" thickBot="1" x14ac:dyDescent="0.3">
      <c r="B65" s="201" t="s">
        <v>368</v>
      </c>
      <c r="C65" s="432">
        <f>(C55/C64)*C66</f>
        <v>0</v>
      </c>
      <c r="D65" s="19" t="s">
        <v>355</v>
      </c>
      <c r="E65" s="5"/>
      <c r="L65" s="2"/>
    </row>
    <row r="66" spans="2:16" ht="30" x14ac:dyDescent="0.25">
      <c r="B66" s="202" t="s">
        <v>352</v>
      </c>
      <c r="C66" s="299"/>
      <c r="D66" s="16" t="s">
        <v>353</v>
      </c>
      <c r="E66" s="5"/>
      <c r="L66" s="2"/>
    </row>
    <row r="67" spans="2:16" ht="45.75" thickBot="1" x14ac:dyDescent="0.3">
      <c r="B67" s="201" t="s">
        <v>354</v>
      </c>
      <c r="C67" s="433">
        <f>C65-C63</f>
        <v>0</v>
      </c>
      <c r="D67" s="19" t="s">
        <v>355</v>
      </c>
      <c r="E67" s="5"/>
      <c r="G67" s="949" t="s">
        <v>749</v>
      </c>
      <c r="H67" s="949"/>
      <c r="I67" s="949"/>
      <c r="J67" s="949"/>
      <c r="K67" s="949"/>
      <c r="L67" s="949"/>
      <c r="M67" s="949"/>
      <c r="N67" s="949"/>
      <c r="O67" s="949"/>
      <c r="P67" s="949"/>
    </row>
  </sheetData>
  <sheetProtection algorithmName="SHA-512" hashValue="N51661jqjO0j8Kwz3H6xpCkaviJVNpK984PIGJzL6DKETIbzrIUWUX6oLYnDBZz8e8UbVsnzm15PmNNQ9SAEGg==" saltValue="HWE/oWsUMVJSwJP0H7fvZw==" spinCount="100000" sheet="1" objects="1" scenarios="1" selectLockedCells="1"/>
  <mergeCells count="15">
    <mergeCell ref="B7:K7"/>
    <mergeCell ref="L9:L12"/>
    <mergeCell ref="L16:L18"/>
    <mergeCell ref="L22:L24"/>
    <mergeCell ref="L28:L30"/>
    <mergeCell ref="L34:L36"/>
    <mergeCell ref="L40:L42"/>
    <mergeCell ref="J63:K63"/>
    <mergeCell ref="G62:I62"/>
    <mergeCell ref="G63:I63"/>
    <mergeCell ref="G67:P67"/>
    <mergeCell ref="G64:I64"/>
    <mergeCell ref="L46:L48"/>
    <mergeCell ref="J62:K62"/>
    <mergeCell ref="J64:K64"/>
  </mergeCells>
  <dataValidations count="1">
    <dataValidation type="list" allowBlank="1" showInputMessage="1" showErrorMessage="1" sqref="C60">
      <formula1>"Hotel, Domestic purposes"</formula1>
    </dataValidation>
  </dataValidations>
  <pageMargins left="0.7" right="0.7" top="0.75" bottom="0.75" header="0.3" footer="0.3"/>
  <pageSetup paperSize="8" scale="92" orientation="landscape" r:id="rId1"/>
  <rowBreaks count="1" manualBreakCount="1">
    <brk id="36" max="16383"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000"/>
  </sheetPr>
  <dimension ref="A1:E32"/>
  <sheetViews>
    <sheetView zoomScaleNormal="100" workbookViewId="0">
      <selection activeCell="D16" sqref="D16"/>
    </sheetView>
  </sheetViews>
  <sheetFormatPr defaultColWidth="9.140625" defaultRowHeight="15" x14ac:dyDescent="0.25"/>
  <cols>
    <col min="1" max="1" width="2.5703125" style="376" customWidth="1"/>
    <col min="2" max="2" width="25.7109375" style="375" customWidth="1"/>
    <col min="3" max="3" width="26.5703125" style="376" customWidth="1"/>
    <col min="4" max="4" width="25.7109375" style="376" customWidth="1"/>
    <col min="5" max="5" width="63.28515625" style="376" customWidth="1"/>
    <col min="6" max="6" width="20.7109375" style="376" customWidth="1"/>
    <col min="7" max="7" width="16.85546875" style="376" bestFit="1" customWidth="1"/>
    <col min="8" max="16384" width="9.140625" style="376"/>
  </cols>
  <sheetData>
    <row r="1" spans="1:5" ht="15.75" x14ac:dyDescent="0.25">
      <c r="A1" s="374" t="s">
        <v>35</v>
      </c>
    </row>
    <row r="3" spans="1:5" s="377" customFormat="1" ht="15.75" x14ac:dyDescent="0.25">
      <c r="A3" s="377" t="s">
        <v>356</v>
      </c>
      <c r="B3" s="378"/>
    </row>
    <row r="5" spans="1:5" ht="15.75" thickBot="1" x14ac:dyDescent="0.3">
      <c r="B5" s="1199" t="s">
        <v>642</v>
      </c>
      <c r="C5" s="1199"/>
    </row>
    <row r="6" spans="1:5" ht="15.75" thickBot="1" x14ac:dyDescent="0.3">
      <c r="B6" s="414" t="s">
        <v>122</v>
      </c>
      <c r="C6" s="415" t="s">
        <v>5</v>
      </c>
      <c r="D6" s="416" t="s">
        <v>101</v>
      </c>
      <c r="E6" s="417" t="s">
        <v>102</v>
      </c>
    </row>
    <row r="7" spans="1:5" x14ac:dyDescent="0.25">
      <c r="B7" s="382" t="s">
        <v>660</v>
      </c>
      <c r="C7" s="321" t="s">
        <v>661</v>
      </c>
      <c r="D7" s="321"/>
      <c r="E7" s="324"/>
    </row>
    <row r="8" spans="1:5" x14ac:dyDescent="0.25">
      <c r="B8" s="383"/>
      <c r="C8" s="321"/>
      <c r="D8" s="322"/>
      <c r="E8" s="325"/>
    </row>
    <row r="9" spans="1:5" x14ac:dyDescent="0.25">
      <c r="B9" s="383"/>
      <c r="C9" s="321"/>
      <c r="D9" s="322"/>
      <c r="E9" s="325"/>
    </row>
    <row r="10" spans="1:5" x14ac:dyDescent="0.25">
      <c r="B10" s="383"/>
      <c r="C10" s="321"/>
      <c r="D10" s="322"/>
      <c r="E10" s="325"/>
    </row>
    <row r="11" spans="1:5" x14ac:dyDescent="0.25">
      <c r="B11" s="383"/>
      <c r="C11" s="321"/>
      <c r="D11" s="322"/>
      <c r="E11" s="325"/>
    </row>
    <row r="12" spans="1:5" x14ac:dyDescent="0.25">
      <c r="B12" s="383"/>
      <c r="C12" s="321"/>
      <c r="D12" s="322"/>
      <c r="E12" s="325"/>
    </row>
    <row r="13" spans="1:5" x14ac:dyDescent="0.25">
      <c r="B13" s="383"/>
      <c r="C13" s="321"/>
      <c r="D13" s="322"/>
      <c r="E13" s="325"/>
    </row>
    <row r="14" spans="1:5" x14ac:dyDescent="0.25">
      <c r="B14" s="383"/>
      <c r="C14" s="321"/>
      <c r="D14" s="322"/>
      <c r="E14" s="325"/>
    </row>
    <row r="15" spans="1:5" x14ac:dyDescent="0.25">
      <c r="B15" s="383"/>
      <c r="C15" s="321"/>
      <c r="D15" s="322"/>
      <c r="E15" s="325"/>
    </row>
    <row r="16" spans="1:5" x14ac:dyDescent="0.25">
      <c r="B16" s="383"/>
      <c r="C16" s="321"/>
      <c r="D16" s="322"/>
      <c r="E16" s="325"/>
    </row>
    <row r="17" spans="2:5" x14ac:dyDescent="0.25">
      <c r="B17" s="383"/>
      <c r="C17" s="321"/>
      <c r="D17" s="322"/>
      <c r="E17" s="325"/>
    </row>
    <row r="18" spans="2:5" x14ac:dyDescent="0.25">
      <c r="B18" s="383"/>
      <c r="C18" s="321"/>
      <c r="D18" s="322"/>
      <c r="E18" s="325"/>
    </row>
    <row r="19" spans="2:5" x14ac:dyDescent="0.25">
      <c r="B19" s="383"/>
      <c r="C19" s="321"/>
      <c r="D19" s="322"/>
      <c r="E19" s="325"/>
    </row>
    <row r="20" spans="2:5" x14ac:dyDescent="0.25">
      <c r="B20" s="383"/>
      <c r="C20" s="321"/>
      <c r="D20" s="322"/>
      <c r="E20" s="325"/>
    </row>
    <row r="21" spans="2:5" x14ac:dyDescent="0.25">
      <c r="B21" s="383"/>
      <c r="C21" s="321"/>
      <c r="D21" s="322"/>
      <c r="E21" s="325"/>
    </row>
    <row r="22" spans="2:5" x14ac:dyDescent="0.25">
      <c r="B22" s="383"/>
      <c r="C22" s="321"/>
      <c r="D22" s="322"/>
      <c r="E22" s="325"/>
    </row>
    <row r="23" spans="2:5" ht="15.75" thickBot="1" x14ac:dyDescent="0.3">
      <c r="B23" s="418"/>
      <c r="C23" s="419"/>
      <c r="D23" s="419"/>
      <c r="E23" s="555"/>
    </row>
    <row r="24" spans="2:5" ht="60.75" thickBot="1" x14ac:dyDescent="0.3">
      <c r="C24" s="553" t="s">
        <v>103</v>
      </c>
      <c r="D24" s="554">
        <f>SUM(D7:D23)</f>
        <v>0</v>
      </c>
      <c r="E24" s="420" t="s">
        <v>357</v>
      </c>
    </row>
    <row r="26" spans="2:5" ht="48" customHeight="1" thickBot="1" x14ac:dyDescent="0.3">
      <c r="B26" s="1198" t="s">
        <v>543</v>
      </c>
      <c r="C26" s="1198"/>
      <c r="D26" s="1198"/>
      <c r="E26" s="1198"/>
    </row>
    <row r="27" spans="2:5" ht="30" x14ac:dyDescent="0.25">
      <c r="B27" s="562" t="s">
        <v>537</v>
      </c>
      <c r="C27" s="563" t="s">
        <v>536</v>
      </c>
    </row>
    <row r="28" spans="2:5" x14ac:dyDescent="0.25">
      <c r="B28" s="564" t="s">
        <v>538</v>
      </c>
      <c r="C28" s="565">
        <v>0.15</v>
      </c>
    </row>
    <row r="29" spans="2:5" x14ac:dyDescent="0.25">
      <c r="B29" s="564" t="s">
        <v>539</v>
      </c>
      <c r="C29" s="565">
        <v>0.15</v>
      </c>
    </row>
    <row r="30" spans="2:5" x14ac:dyDescent="0.25">
      <c r="B30" s="564" t="s">
        <v>540</v>
      </c>
      <c r="C30" s="565">
        <v>0.15</v>
      </c>
    </row>
    <row r="31" spans="2:5" ht="15.75" thickBot="1" x14ac:dyDescent="0.3">
      <c r="B31" s="566" t="s">
        <v>541</v>
      </c>
      <c r="C31" s="476" t="s">
        <v>542</v>
      </c>
    </row>
    <row r="32" spans="2:5" ht="15.75" thickBot="1" x14ac:dyDescent="0.3">
      <c r="B32" s="1199" t="s">
        <v>642</v>
      </c>
      <c r="C32" s="1199"/>
    </row>
  </sheetData>
  <sheetProtection algorithmName="SHA-512" hashValue="0m3DWngnkncxcnE+eWfbXbKS77PzP78gNJcNVNgn02qKknL21xYcU4n0qkaMarc0mb8sE9J7YoDYt3NkQJzRRg==" saltValue="xdCntlV4muLMNLUVXFotqQ==" spinCount="100000" sheet="1" objects="1" scenarios="1" selectLockedCells="1"/>
  <mergeCells count="3">
    <mergeCell ref="B26:E26"/>
    <mergeCell ref="B5:C5"/>
    <mergeCell ref="B32:C32"/>
  </mergeCell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C000"/>
  </sheetPr>
  <dimension ref="A1:J60"/>
  <sheetViews>
    <sheetView zoomScaleNormal="100" workbookViewId="0">
      <selection activeCell="H23" sqref="H23"/>
    </sheetView>
  </sheetViews>
  <sheetFormatPr defaultColWidth="9.140625" defaultRowHeight="15" x14ac:dyDescent="0.25"/>
  <cols>
    <col min="1" max="1" width="2.42578125" style="376" customWidth="1"/>
    <col min="2" max="2" width="22.28515625" style="376" bestFit="1" customWidth="1"/>
    <col min="3" max="10" width="20.7109375" style="376" customWidth="1"/>
    <col min="11" max="16384" width="9.140625" style="376"/>
  </cols>
  <sheetData>
    <row r="1" spans="1:10" ht="15.75" x14ac:dyDescent="0.25">
      <c r="A1" s="374" t="s">
        <v>104</v>
      </c>
    </row>
    <row r="2" spans="1:10" ht="15.75" thickBot="1" x14ac:dyDescent="0.3"/>
    <row r="3" spans="1:10" ht="45.75" thickBot="1" x14ac:dyDescent="0.3">
      <c r="B3" s="379" t="s">
        <v>57</v>
      </c>
      <c r="C3" s="381" t="s">
        <v>55</v>
      </c>
      <c r="D3" s="381" t="s">
        <v>56</v>
      </c>
      <c r="E3" s="380" t="s">
        <v>463</v>
      </c>
      <c r="F3" s="380" t="s">
        <v>461</v>
      </c>
      <c r="G3" s="381" t="s">
        <v>30</v>
      </c>
      <c r="H3" s="384" t="s">
        <v>462</v>
      </c>
      <c r="I3" s="385" t="s">
        <v>61</v>
      </c>
      <c r="J3" s="385" t="s">
        <v>62</v>
      </c>
    </row>
    <row r="4" spans="1:10" x14ac:dyDescent="0.25">
      <c r="B4" s="386" t="s">
        <v>662</v>
      </c>
      <c r="C4" s="332"/>
      <c r="D4" s="332"/>
      <c r="E4" s="332"/>
      <c r="F4" s="550">
        <f>E4</f>
        <v>0</v>
      </c>
      <c r="G4" s="332"/>
      <c r="H4" s="387"/>
      <c r="I4" s="395">
        <f>E4*G4*H4*52</f>
        <v>0</v>
      </c>
      <c r="J4" s="395">
        <f>I4</f>
        <v>0</v>
      </c>
    </row>
    <row r="5" spans="1:10" x14ac:dyDescent="0.25">
      <c r="B5" s="388" t="s">
        <v>663</v>
      </c>
      <c r="C5" s="322"/>
      <c r="D5" s="322"/>
      <c r="E5" s="322"/>
      <c r="F5" s="551">
        <f t="shared" ref="F5:F53" si="0">E5</f>
        <v>0</v>
      </c>
      <c r="G5" s="322"/>
      <c r="H5" s="389"/>
      <c r="I5" s="396">
        <f t="shared" ref="I5:I53" si="1">E5*G5*H5*52</f>
        <v>0</v>
      </c>
      <c r="J5" s="396">
        <f t="shared" ref="J5:J53" si="2">I5</f>
        <v>0</v>
      </c>
    </row>
    <row r="6" spans="1:10" x14ac:dyDescent="0.25">
      <c r="B6" s="388"/>
      <c r="C6" s="322"/>
      <c r="D6" s="322"/>
      <c r="E6" s="322"/>
      <c r="F6" s="551">
        <f t="shared" si="0"/>
        <v>0</v>
      </c>
      <c r="G6" s="322"/>
      <c r="H6" s="389"/>
      <c r="I6" s="396">
        <f t="shared" si="1"/>
        <v>0</v>
      </c>
      <c r="J6" s="396">
        <f t="shared" si="2"/>
        <v>0</v>
      </c>
    </row>
    <row r="7" spans="1:10" x14ac:dyDescent="0.25">
      <c r="B7" s="388"/>
      <c r="C7" s="322"/>
      <c r="D7" s="322"/>
      <c r="E7" s="322"/>
      <c r="F7" s="551">
        <f t="shared" si="0"/>
        <v>0</v>
      </c>
      <c r="G7" s="322"/>
      <c r="H7" s="389"/>
      <c r="I7" s="396">
        <f t="shared" si="1"/>
        <v>0</v>
      </c>
      <c r="J7" s="396">
        <f t="shared" si="2"/>
        <v>0</v>
      </c>
    </row>
    <row r="8" spans="1:10" x14ac:dyDescent="0.25">
      <c r="B8" s="388"/>
      <c r="C8" s="322"/>
      <c r="D8" s="322"/>
      <c r="E8" s="322"/>
      <c r="F8" s="551">
        <f t="shared" ref="F8:F21" si="3">E8</f>
        <v>0</v>
      </c>
      <c r="G8" s="322"/>
      <c r="H8" s="389"/>
      <c r="I8" s="396">
        <f t="shared" ref="I8:I21" si="4">E8*G8*H8*52</f>
        <v>0</v>
      </c>
      <c r="J8" s="396">
        <f t="shared" ref="J8:J21" si="5">I8</f>
        <v>0</v>
      </c>
    </row>
    <row r="9" spans="1:10" x14ac:dyDescent="0.25">
      <c r="B9" s="388"/>
      <c r="C9" s="322"/>
      <c r="D9" s="322"/>
      <c r="E9" s="322"/>
      <c r="F9" s="551">
        <f t="shared" si="3"/>
        <v>0</v>
      </c>
      <c r="G9" s="322"/>
      <c r="H9" s="389"/>
      <c r="I9" s="396">
        <f t="shared" si="4"/>
        <v>0</v>
      </c>
      <c r="J9" s="396">
        <f t="shared" si="5"/>
        <v>0</v>
      </c>
    </row>
    <row r="10" spans="1:10" x14ac:dyDescent="0.25">
      <c r="B10" s="388"/>
      <c r="C10" s="322"/>
      <c r="D10" s="322"/>
      <c r="E10" s="322"/>
      <c r="F10" s="551">
        <f t="shared" si="3"/>
        <v>0</v>
      </c>
      <c r="G10" s="322"/>
      <c r="H10" s="389"/>
      <c r="I10" s="396">
        <f t="shared" si="4"/>
        <v>0</v>
      </c>
      <c r="J10" s="396">
        <f t="shared" si="5"/>
        <v>0</v>
      </c>
    </row>
    <row r="11" spans="1:10" x14ac:dyDescent="0.25">
      <c r="B11" s="388"/>
      <c r="C11" s="322"/>
      <c r="D11" s="322"/>
      <c r="E11" s="322"/>
      <c r="F11" s="551">
        <f t="shared" si="3"/>
        <v>0</v>
      </c>
      <c r="G11" s="322"/>
      <c r="H11" s="389"/>
      <c r="I11" s="396">
        <f t="shared" si="4"/>
        <v>0</v>
      </c>
      <c r="J11" s="396">
        <f t="shared" si="5"/>
        <v>0</v>
      </c>
    </row>
    <row r="12" spans="1:10" x14ac:dyDescent="0.25">
      <c r="B12" s="388"/>
      <c r="C12" s="322"/>
      <c r="D12" s="322"/>
      <c r="E12" s="322"/>
      <c r="F12" s="551">
        <f t="shared" si="3"/>
        <v>0</v>
      </c>
      <c r="G12" s="322"/>
      <c r="H12" s="389"/>
      <c r="I12" s="396">
        <f t="shared" si="4"/>
        <v>0</v>
      </c>
      <c r="J12" s="396">
        <f t="shared" si="5"/>
        <v>0</v>
      </c>
    </row>
    <row r="13" spans="1:10" x14ac:dyDescent="0.25">
      <c r="B13" s="388"/>
      <c r="C13" s="322"/>
      <c r="D13" s="322"/>
      <c r="E13" s="322"/>
      <c r="F13" s="551">
        <f t="shared" si="3"/>
        <v>0</v>
      </c>
      <c r="G13" s="322"/>
      <c r="H13" s="389"/>
      <c r="I13" s="396">
        <f t="shared" si="4"/>
        <v>0</v>
      </c>
      <c r="J13" s="396">
        <f t="shared" si="5"/>
        <v>0</v>
      </c>
    </row>
    <row r="14" spans="1:10" x14ac:dyDescent="0.25">
      <c r="B14" s="388"/>
      <c r="C14" s="322"/>
      <c r="D14" s="322"/>
      <c r="E14" s="322"/>
      <c r="F14" s="551">
        <f t="shared" si="3"/>
        <v>0</v>
      </c>
      <c r="G14" s="322"/>
      <c r="H14" s="389"/>
      <c r="I14" s="396">
        <f t="shared" si="4"/>
        <v>0</v>
      </c>
      <c r="J14" s="396">
        <f t="shared" si="5"/>
        <v>0</v>
      </c>
    </row>
    <row r="15" spans="1:10" x14ac:dyDescent="0.25">
      <c r="B15" s="388"/>
      <c r="C15" s="322"/>
      <c r="D15" s="322"/>
      <c r="E15" s="322"/>
      <c r="F15" s="551">
        <f t="shared" si="3"/>
        <v>0</v>
      </c>
      <c r="G15" s="322"/>
      <c r="H15" s="389"/>
      <c r="I15" s="396">
        <f t="shared" si="4"/>
        <v>0</v>
      </c>
      <c r="J15" s="396">
        <f t="shared" si="5"/>
        <v>0</v>
      </c>
    </row>
    <row r="16" spans="1:10" x14ac:dyDescent="0.25">
      <c r="B16" s="388"/>
      <c r="C16" s="322"/>
      <c r="D16" s="322"/>
      <c r="E16" s="322"/>
      <c r="F16" s="551">
        <f t="shared" si="3"/>
        <v>0</v>
      </c>
      <c r="G16" s="322"/>
      <c r="H16" s="389"/>
      <c r="I16" s="396">
        <f t="shared" si="4"/>
        <v>0</v>
      </c>
      <c r="J16" s="396">
        <f t="shared" si="5"/>
        <v>0</v>
      </c>
    </row>
    <row r="17" spans="2:10" x14ac:dyDescent="0.25">
      <c r="B17" s="388"/>
      <c r="C17" s="322"/>
      <c r="D17" s="322"/>
      <c r="E17" s="322"/>
      <c r="F17" s="551">
        <f t="shared" si="3"/>
        <v>0</v>
      </c>
      <c r="G17" s="322"/>
      <c r="H17" s="389"/>
      <c r="I17" s="396">
        <f t="shared" si="4"/>
        <v>0</v>
      </c>
      <c r="J17" s="396">
        <f t="shared" si="5"/>
        <v>0</v>
      </c>
    </row>
    <row r="18" spans="2:10" x14ac:dyDescent="0.25">
      <c r="B18" s="388"/>
      <c r="C18" s="322"/>
      <c r="D18" s="322"/>
      <c r="E18" s="322"/>
      <c r="F18" s="551">
        <f t="shared" si="3"/>
        <v>0</v>
      </c>
      <c r="G18" s="322"/>
      <c r="H18" s="389"/>
      <c r="I18" s="396">
        <f t="shared" si="4"/>
        <v>0</v>
      </c>
      <c r="J18" s="396">
        <f t="shared" si="5"/>
        <v>0</v>
      </c>
    </row>
    <row r="19" spans="2:10" x14ac:dyDescent="0.25">
      <c r="B19" s="388"/>
      <c r="C19" s="322"/>
      <c r="D19" s="322"/>
      <c r="E19" s="322"/>
      <c r="F19" s="551">
        <f t="shared" si="3"/>
        <v>0</v>
      </c>
      <c r="G19" s="322"/>
      <c r="H19" s="389"/>
      <c r="I19" s="396">
        <f t="shared" si="4"/>
        <v>0</v>
      </c>
      <c r="J19" s="396">
        <f t="shared" si="5"/>
        <v>0</v>
      </c>
    </row>
    <row r="20" spans="2:10" x14ac:dyDescent="0.25">
      <c r="B20" s="388"/>
      <c r="C20" s="322"/>
      <c r="D20" s="322"/>
      <c r="E20" s="322"/>
      <c r="F20" s="551">
        <f t="shared" si="3"/>
        <v>0</v>
      </c>
      <c r="G20" s="322"/>
      <c r="H20" s="389"/>
      <c r="I20" s="396">
        <f t="shared" si="4"/>
        <v>0</v>
      </c>
      <c r="J20" s="396">
        <f t="shared" si="5"/>
        <v>0</v>
      </c>
    </row>
    <row r="21" spans="2:10" x14ac:dyDescent="0.25">
      <c r="B21" s="388"/>
      <c r="C21" s="322"/>
      <c r="D21" s="322"/>
      <c r="E21" s="322"/>
      <c r="F21" s="551">
        <f t="shared" si="3"/>
        <v>0</v>
      </c>
      <c r="G21" s="322"/>
      <c r="H21" s="389"/>
      <c r="I21" s="396">
        <f t="shared" si="4"/>
        <v>0</v>
      </c>
      <c r="J21" s="396">
        <f t="shared" si="5"/>
        <v>0</v>
      </c>
    </row>
    <row r="22" spans="2:10" x14ac:dyDescent="0.25">
      <c r="B22" s="388"/>
      <c r="C22" s="322"/>
      <c r="D22" s="322"/>
      <c r="E22" s="322"/>
      <c r="F22" s="551">
        <f t="shared" si="0"/>
        <v>0</v>
      </c>
      <c r="G22" s="322"/>
      <c r="H22" s="389"/>
      <c r="I22" s="396">
        <f t="shared" si="1"/>
        <v>0</v>
      </c>
      <c r="J22" s="396">
        <f t="shared" si="2"/>
        <v>0</v>
      </c>
    </row>
    <row r="23" spans="2:10" x14ac:dyDescent="0.25">
      <c r="B23" s="388"/>
      <c r="C23" s="322"/>
      <c r="D23" s="322"/>
      <c r="E23" s="322"/>
      <c r="F23" s="551">
        <f t="shared" si="0"/>
        <v>0</v>
      </c>
      <c r="G23" s="322"/>
      <c r="H23" s="389"/>
      <c r="I23" s="396">
        <f t="shared" si="1"/>
        <v>0</v>
      </c>
      <c r="J23" s="396">
        <f t="shared" si="2"/>
        <v>0</v>
      </c>
    </row>
    <row r="24" spans="2:10" x14ac:dyDescent="0.25">
      <c r="B24" s="388"/>
      <c r="C24" s="322"/>
      <c r="D24" s="322"/>
      <c r="E24" s="322"/>
      <c r="F24" s="551">
        <f t="shared" si="0"/>
        <v>0</v>
      </c>
      <c r="G24" s="322"/>
      <c r="H24" s="389"/>
      <c r="I24" s="396">
        <f t="shared" si="1"/>
        <v>0</v>
      </c>
      <c r="J24" s="396">
        <f t="shared" si="2"/>
        <v>0</v>
      </c>
    </row>
    <row r="25" spans="2:10" x14ac:dyDescent="0.25">
      <c r="B25" s="388"/>
      <c r="C25" s="322"/>
      <c r="D25" s="322"/>
      <c r="E25" s="322"/>
      <c r="F25" s="551">
        <f t="shared" si="0"/>
        <v>0</v>
      </c>
      <c r="G25" s="322"/>
      <c r="H25" s="389"/>
      <c r="I25" s="396">
        <f t="shared" si="1"/>
        <v>0</v>
      </c>
      <c r="J25" s="396">
        <f t="shared" si="2"/>
        <v>0</v>
      </c>
    </row>
    <row r="26" spans="2:10" x14ac:dyDescent="0.25">
      <c r="B26" s="388"/>
      <c r="C26" s="322"/>
      <c r="D26" s="322"/>
      <c r="E26" s="322"/>
      <c r="F26" s="551">
        <f t="shared" si="0"/>
        <v>0</v>
      </c>
      <c r="G26" s="322"/>
      <c r="H26" s="389"/>
      <c r="I26" s="396">
        <f t="shared" si="1"/>
        <v>0</v>
      </c>
      <c r="J26" s="396">
        <f t="shared" si="2"/>
        <v>0</v>
      </c>
    </row>
    <row r="27" spans="2:10" x14ac:dyDescent="0.25">
      <c r="B27" s="388"/>
      <c r="C27" s="322"/>
      <c r="D27" s="322"/>
      <c r="E27" s="322"/>
      <c r="F27" s="551">
        <f t="shared" si="0"/>
        <v>0</v>
      </c>
      <c r="G27" s="322"/>
      <c r="H27" s="389"/>
      <c r="I27" s="396">
        <f t="shared" si="1"/>
        <v>0</v>
      </c>
      <c r="J27" s="396">
        <f t="shared" si="2"/>
        <v>0</v>
      </c>
    </row>
    <row r="28" spans="2:10" x14ac:dyDescent="0.25">
      <c r="B28" s="388"/>
      <c r="C28" s="322"/>
      <c r="D28" s="322"/>
      <c r="E28" s="322"/>
      <c r="F28" s="551">
        <f t="shared" si="0"/>
        <v>0</v>
      </c>
      <c r="G28" s="322"/>
      <c r="H28" s="389"/>
      <c r="I28" s="396">
        <f t="shared" si="1"/>
        <v>0</v>
      </c>
      <c r="J28" s="396">
        <f t="shared" si="2"/>
        <v>0</v>
      </c>
    </row>
    <row r="29" spans="2:10" x14ac:dyDescent="0.25">
      <c r="B29" s="388"/>
      <c r="C29" s="322"/>
      <c r="D29" s="322"/>
      <c r="E29" s="322"/>
      <c r="F29" s="551">
        <f t="shared" si="0"/>
        <v>0</v>
      </c>
      <c r="G29" s="322"/>
      <c r="H29" s="389"/>
      <c r="I29" s="396">
        <f t="shared" si="1"/>
        <v>0</v>
      </c>
      <c r="J29" s="396">
        <f t="shared" si="2"/>
        <v>0</v>
      </c>
    </row>
    <row r="30" spans="2:10" x14ac:dyDescent="0.25">
      <c r="B30" s="388"/>
      <c r="C30" s="322"/>
      <c r="D30" s="322"/>
      <c r="E30" s="322"/>
      <c r="F30" s="551">
        <f t="shared" ref="F30:F36" si="6">E30</f>
        <v>0</v>
      </c>
      <c r="G30" s="322"/>
      <c r="H30" s="389"/>
      <c r="I30" s="396">
        <f t="shared" si="1"/>
        <v>0</v>
      </c>
      <c r="J30" s="396">
        <f t="shared" ref="J30:J36" si="7">I30</f>
        <v>0</v>
      </c>
    </row>
    <row r="31" spans="2:10" x14ac:dyDescent="0.25">
      <c r="B31" s="388"/>
      <c r="C31" s="322"/>
      <c r="D31" s="322"/>
      <c r="E31" s="322"/>
      <c r="F31" s="551">
        <f t="shared" si="6"/>
        <v>0</v>
      </c>
      <c r="G31" s="322"/>
      <c r="H31" s="389"/>
      <c r="I31" s="396">
        <f t="shared" si="1"/>
        <v>0</v>
      </c>
      <c r="J31" s="396">
        <f t="shared" si="7"/>
        <v>0</v>
      </c>
    </row>
    <row r="32" spans="2:10" x14ac:dyDescent="0.25">
      <c r="B32" s="388"/>
      <c r="C32" s="322"/>
      <c r="D32" s="322"/>
      <c r="E32" s="322"/>
      <c r="F32" s="551">
        <f t="shared" si="6"/>
        <v>0</v>
      </c>
      <c r="G32" s="322"/>
      <c r="H32" s="389"/>
      <c r="I32" s="396">
        <f t="shared" si="1"/>
        <v>0</v>
      </c>
      <c r="J32" s="396">
        <f t="shared" si="7"/>
        <v>0</v>
      </c>
    </row>
    <row r="33" spans="2:10" x14ac:dyDescent="0.25">
      <c r="B33" s="388"/>
      <c r="C33" s="322"/>
      <c r="D33" s="322"/>
      <c r="E33" s="322"/>
      <c r="F33" s="551">
        <f t="shared" si="6"/>
        <v>0</v>
      </c>
      <c r="G33" s="322"/>
      <c r="H33" s="389"/>
      <c r="I33" s="396">
        <f t="shared" si="1"/>
        <v>0</v>
      </c>
      <c r="J33" s="396">
        <f t="shared" si="7"/>
        <v>0</v>
      </c>
    </row>
    <row r="34" spans="2:10" x14ac:dyDescent="0.25">
      <c r="B34" s="388"/>
      <c r="C34" s="322"/>
      <c r="D34" s="322"/>
      <c r="E34" s="322"/>
      <c r="F34" s="551">
        <f t="shared" si="6"/>
        <v>0</v>
      </c>
      <c r="G34" s="322"/>
      <c r="H34" s="389"/>
      <c r="I34" s="396">
        <f t="shared" si="1"/>
        <v>0</v>
      </c>
      <c r="J34" s="396">
        <f t="shared" si="7"/>
        <v>0</v>
      </c>
    </row>
    <row r="35" spans="2:10" x14ac:dyDescent="0.25">
      <c r="B35" s="388"/>
      <c r="C35" s="322"/>
      <c r="D35" s="322"/>
      <c r="E35" s="322"/>
      <c r="F35" s="551">
        <f t="shared" si="6"/>
        <v>0</v>
      </c>
      <c r="G35" s="322"/>
      <c r="H35" s="389"/>
      <c r="I35" s="396">
        <f t="shared" si="1"/>
        <v>0</v>
      </c>
      <c r="J35" s="396">
        <f t="shared" si="7"/>
        <v>0</v>
      </c>
    </row>
    <row r="36" spans="2:10" x14ac:dyDescent="0.25">
      <c r="B36" s="388"/>
      <c r="C36" s="322"/>
      <c r="D36" s="322"/>
      <c r="E36" s="322"/>
      <c r="F36" s="551">
        <f t="shared" si="6"/>
        <v>0</v>
      </c>
      <c r="G36" s="322"/>
      <c r="H36" s="389"/>
      <c r="I36" s="396">
        <f t="shared" si="1"/>
        <v>0</v>
      </c>
      <c r="J36" s="396">
        <f t="shared" si="7"/>
        <v>0</v>
      </c>
    </row>
    <row r="37" spans="2:10" x14ac:dyDescent="0.25">
      <c r="B37" s="388"/>
      <c r="C37" s="322"/>
      <c r="D37" s="322"/>
      <c r="E37" s="322"/>
      <c r="F37" s="551">
        <f t="shared" ref="F37:F44" si="8">E37</f>
        <v>0</v>
      </c>
      <c r="G37" s="322"/>
      <c r="H37" s="389"/>
      <c r="I37" s="396">
        <f t="shared" si="1"/>
        <v>0</v>
      </c>
      <c r="J37" s="396">
        <f t="shared" ref="J37:J44" si="9">I37</f>
        <v>0</v>
      </c>
    </row>
    <row r="38" spans="2:10" x14ac:dyDescent="0.25">
      <c r="B38" s="388"/>
      <c r="C38" s="322"/>
      <c r="D38" s="322"/>
      <c r="E38" s="322"/>
      <c r="F38" s="551">
        <f t="shared" si="8"/>
        <v>0</v>
      </c>
      <c r="G38" s="322"/>
      <c r="H38" s="389"/>
      <c r="I38" s="396">
        <f t="shared" si="1"/>
        <v>0</v>
      </c>
      <c r="J38" s="396">
        <f t="shared" si="9"/>
        <v>0</v>
      </c>
    </row>
    <row r="39" spans="2:10" x14ac:dyDescent="0.25">
      <c r="B39" s="388"/>
      <c r="C39" s="322"/>
      <c r="D39" s="322"/>
      <c r="E39" s="322"/>
      <c r="F39" s="551">
        <f t="shared" si="8"/>
        <v>0</v>
      </c>
      <c r="G39" s="322"/>
      <c r="H39" s="389"/>
      <c r="I39" s="396">
        <f t="shared" si="1"/>
        <v>0</v>
      </c>
      <c r="J39" s="396">
        <f t="shared" si="9"/>
        <v>0</v>
      </c>
    </row>
    <row r="40" spans="2:10" x14ac:dyDescent="0.25">
      <c r="B40" s="388"/>
      <c r="C40" s="322"/>
      <c r="D40" s="322"/>
      <c r="E40" s="322"/>
      <c r="F40" s="551">
        <f t="shared" si="8"/>
        <v>0</v>
      </c>
      <c r="G40" s="322"/>
      <c r="H40" s="389"/>
      <c r="I40" s="396">
        <f t="shared" si="1"/>
        <v>0</v>
      </c>
      <c r="J40" s="396">
        <f t="shared" si="9"/>
        <v>0</v>
      </c>
    </row>
    <row r="41" spans="2:10" x14ac:dyDescent="0.25">
      <c r="B41" s="388"/>
      <c r="C41" s="322"/>
      <c r="D41" s="322"/>
      <c r="E41" s="322"/>
      <c r="F41" s="551">
        <f t="shared" si="8"/>
        <v>0</v>
      </c>
      <c r="G41" s="322"/>
      <c r="H41" s="389"/>
      <c r="I41" s="396">
        <f t="shared" si="1"/>
        <v>0</v>
      </c>
      <c r="J41" s="396">
        <f t="shared" si="9"/>
        <v>0</v>
      </c>
    </row>
    <row r="42" spans="2:10" x14ac:dyDescent="0.25">
      <c r="B42" s="388"/>
      <c r="C42" s="322"/>
      <c r="D42" s="322"/>
      <c r="E42" s="322"/>
      <c r="F42" s="551">
        <f t="shared" si="8"/>
        <v>0</v>
      </c>
      <c r="G42" s="322"/>
      <c r="H42" s="389"/>
      <c r="I42" s="396">
        <f t="shared" si="1"/>
        <v>0</v>
      </c>
      <c r="J42" s="396">
        <f t="shared" si="9"/>
        <v>0</v>
      </c>
    </row>
    <row r="43" spans="2:10" x14ac:dyDescent="0.25">
      <c r="B43" s="388"/>
      <c r="C43" s="322"/>
      <c r="D43" s="322"/>
      <c r="E43" s="322"/>
      <c r="F43" s="551">
        <f t="shared" si="8"/>
        <v>0</v>
      </c>
      <c r="G43" s="322"/>
      <c r="H43" s="389"/>
      <c r="I43" s="396">
        <f t="shared" si="1"/>
        <v>0</v>
      </c>
      <c r="J43" s="396">
        <f t="shared" si="9"/>
        <v>0</v>
      </c>
    </row>
    <row r="44" spans="2:10" x14ac:dyDescent="0.25">
      <c r="B44" s="388"/>
      <c r="C44" s="322"/>
      <c r="D44" s="322"/>
      <c r="E44" s="322"/>
      <c r="F44" s="551">
        <f t="shared" si="8"/>
        <v>0</v>
      </c>
      <c r="G44" s="322"/>
      <c r="H44" s="389"/>
      <c r="I44" s="396">
        <f t="shared" si="1"/>
        <v>0</v>
      </c>
      <c r="J44" s="396">
        <f t="shared" si="9"/>
        <v>0</v>
      </c>
    </row>
    <row r="45" spans="2:10" x14ac:dyDescent="0.25">
      <c r="B45" s="388"/>
      <c r="C45" s="322"/>
      <c r="D45" s="322"/>
      <c r="E45" s="322"/>
      <c r="F45" s="551">
        <f t="shared" si="0"/>
        <v>0</v>
      </c>
      <c r="G45" s="322"/>
      <c r="H45" s="389"/>
      <c r="I45" s="396">
        <f t="shared" si="1"/>
        <v>0</v>
      </c>
      <c r="J45" s="396">
        <f t="shared" si="2"/>
        <v>0</v>
      </c>
    </row>
    <row r="46" spans="2:10" x14ac:dyDescent="0.25">
      <c r="B46" s="388"/>
      <c r="C46" s="322"/>
      <c r="D46" s="322"/>
      <c r="E46" s="322"/>
      <c r="F46" s="551">
        <f t="shared" si="0"/>
        <v>0</v>
      </c>
      <c r="G46" s="322"/>
      <c r="H46" s="389"/>
      <c r="I46" s="396">
        <f t="shared" si="1"/>
        <v>0</v>
      </c>
      <c r="J46" s="396">
        <f t="shared" si="2"/>
        <v>0</v>
      </c>
    </row>
    <row r="47" spans="2:10" x14ac:dyDescent="0.25">
      <c r="B47" s="388"/>
      <c r="C47" s="322"/>
      <c r="D47" s="322"/>
      <c r="E47" s="322"/>
      <c r="F47" s="551">
        <f t="shared" si="0"/>
        <v>0</v>
      </c>
      <c r="G47" s="322"/>
      <c r="H47" s="389"/>
      <c r="I47" s="396">
        <f t="shared" si="1"/>
        <v>0</v>
      </c>
      <c r="J47" s="396">
        <f t="shared" si="2"/>
        <v>0</v>
      </c>
    </row>
    <row r="48" spans="2:10" x14ac:dyDescent="0.25">
      <c r="B48" s="388"/>
      <c r="C48" s="322"/>
      <c r="D48" s="322"/>
      <c r="E48" s="322"/>
      <c r="F48" s="551">
        <f t="shared" si="0"/>
        <v>0</v>
      </c>
      <c r="G48" s="322"/>
      <c r="H48" s="389"/>
      <c r="I48" s="396">
        <f t="shared" si="1"/>
        <v>0</v>
      </c>
      <c r="J48" s="396">
        <f t="shared" si="2"/>
        <v>0</v>
      </c>
    </row>
    <row r="49" spans="2:10" x14ac:dyDescent="0.25">
      <c r="B49" s="388"/>
      <c r="C49" s="322"/>
      <c r="D49" s="322"/>
      <c r="E49" s="322"/>
      <c r="F49" s="551">
        <f t="shared" si="0"/>
        <v>0</v>
      </c>
      <c r="G49" s="322"/>
      <c r="H49" s="389"/>
      <c r="I49" s="396">
        <f t="shared" si="1"/>
        <v>0</v>
      </c>
      <c r="J49" s="396">
        <f t="shared" si="2"/>
        <v>0</v>
      </c>
    </row>
    <row r="50" spans="2:10" x14ac:dyDescent="0.25">
      <c r="B50" s="388"/>
      <c r="C50" s="322"/>
      <c r="D50" s="322"/>
      <c r="E50" s="322"/>
      <c r="F50" s="551">
        <f t="shared" si="0"/>
        <v>0</v>
      </c>
      <c r="G50" s="322"/>
      <c r="H50" s="389"/>
      <c r="I50" s="396">
        <f t="shared" si="1"/>
        <v>0</v>
      </c>
      <c r="J50" s="396">
        <f t="shared" si="2"/>
        <v>0</v>
      </c>
    </row>
    <row r="51" spans="2:10" x14ac:dyDescent="0.25">
      <c r="B51" s="388"/>
      <c r="C51" s="322"/>
      <c r="D51" s="322"/>
      <c r="E51" s="322"/>
      <c r="F51" s="551">
        <f t="shared" si="0"/>
        <v>0</v>
      </c>
      <c r="G51" s="322"/>
      <c r="H51" s="389"/>
      <c r="I51" s="396">
        <f t="shared" si="1"/>
        <v>0</v>
      </c>
      <c r="J51" s="396">
        <f t="shared" si="2"/>
        <v>0</v>
      </c>
    </row>
    <row r="52" spans="2:10" x14ac:dyDescent="0.25">
      <c r="B52" s="388"/>
      <c r="C52" s="322"/>
      <c r="D52" s="322"/>
      <c r="E52" s="322"/>
      <c r="F52" s="551">
        <f t="shared" si="0"/>
        <v>0</v>
      </c>
      <c r="G52" s="322"/>
      <c r="H52" s="389"/>
      <c r="I52" s="396">
        <f t="shared" si="1"/>
        <v>0</v>
      </c>
      <c r="J52" s="396">
        <f t="shared" si="2"/>
        <v>0</v>
      </c>
    </row>
    <row r="53" spans="2:10" ht="15.75" thickBot="1" x14ac:dyDescent="0.3">
      <c r="B53" s="390"/>
      <c r="C53" s="323"/>
      <c r="D53" s="323"/>
      <c r="E53" s="323"/>
      <c r="F53" s="552">
        <f t="shared" si="0"/>
        <v>0</v>
      </c>
      <c r="G53" s="323"/>
      <c r="H53" s="391"/>
      <c r="I53" s="398">
        <f t="shared" si="1"/>
        <v>0</v>
      </c>
      <c r="J53" s="398">
        <f t="shared" si="2"/>
        <v>0</v>
      </c>
    </row>
    <row r="54" spans="2:10" ht="15.75" thickBot="1" x14ac:dyDescent="0.3">
      <c r="H54" s="392" t="s">
        <v>60</v>
      </c>
      <c r="I54" s="399">
        <f>SUM(I4:I53)</f>
        <v>0</v>
      </c>
      <c r="J54" s="399">
        <f>SUM(J4:J53)</f>
        <v>0</v>
      </c>
    </row>
    <row r="60" spans="2:10" x14ac:dyDescent="0.25">
      <c r="B60" s="393"/>
      <c r="C60" s="394"/>
      <c r="D60" s="394"/>
    </row>
  </sheetData>
  <sheetProtection algorithmName="SHA-512" hashValue="QayPxXRYfCvPV+FJpqkOqBqaupqlA0ev9bZjZG0UX1YnKTapFSMMtoXYe4ifgdGZdOCRewdf4dDdmiA/Cd3kjA==" saltValue="BLBUmtOynlis6/huT+Tgog==" spinCount="100000" sheet="1" objects="1" scenarios="1" selectLockedCells="1" sort="0" autoFilter="0" pivotTables="0"/>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59999389629810485"/>
  </sheetPr>
  <dimension ref="A1"/>
  <sheetViews>
    <sheetView workbookViewId="0"/>
  </sheetViews>
  <sheetFormatPr defaultColWidth="9.140625" defaultRowHeight="15" x14ac:dyDescent="0.25"/>
  <cols>
    <col min="1" max="16384" width="9.140625" style="376"/>
  </cols>
  <sheetData>
    <row r="1" spans="1:1" x14ac:dyDescent="0.25">
      <c r="A1" s="376" t="s">
        <v>426</v>
      </c>
    </row>
  </sheetData>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4" tint="0.59999389629810485"/>
  </sheetPr>
  <dimension ref="A1:O3"/>
  <sheetViews>
    <sheetView workbookViewId="0">
      <selection activeCell="K17" sqref="K17"/>
    </sheetView>
  </sheetViews>
  <sheetFormatPr defaultColWidth="9.140625" defaultRowHeight="15" x14ac:dyDescent="0.25"/>
  <cols>
    <col min="1" max="1" width="9.140625" style="376"/>
    <col min="2" max="2" width="10.85546875" style="376" bestFit="1" customWidth="1"/>
    <col min="3" max="3" width="9.140625" style="376" bestFit="1" customWidth="1"/>
    <col min="4" max="4" width="16.7109375" style="376" customWidth="1"/>
    <col min="5" max="5" width="11.5703125" style="376" customWidth="1"/>
    <col min="6" max="6" width="11.42578125" style="376" customWidth="1"/>
    <col min="7" max="7" width="9.140625" style="376"/>
    <col min="8" max="8" width="12.5703125" style="376" customWidth="1"/>
    <col min="9" max="10" width="12.42578125" style="376" customWidth="1"/>
    <col min="11" max="11" width="9.5703125" style="376" customWidth="1"/>
    <col min="12" max="13" width="11" style="376" customWidth="1"/>
    <col min="14" max="14" width="13.5703125" style="376" customWidth="1"/>
    <col min="15" max="15" width="52.42578125" style="376" customWidth="1"/>
    <col min="16" max="16384" width="9.140625" style="376"/>
  </cols>
  <sheetData>
    <row r="1" spans="1:15" x14ac:dyDescent="0.25">
      <c r="A1" s="376" t="s">
        <v>425</v>
      </c>
    </row>
    <row r="3" spans="1:15" s="375" customFormat="1" ht="60" x14ac:dyDescent="0.25">
      <c r="A3" s="400" t="s">
        <v>436</v>
      </c>
      <c r="B3" s="400" t="s">
        <v>437</v>
      </c>
      <c r="C3" s="400" t="s">
        <v>386</v>
      </c>
      <c r="D3" s="400" t="s">
        <v>473</v>
      </c>
      <c r="E3" s="400" t="s">
        <v>438</v>
      </c>
      <c r="F3" s="400" t="s">
        <v>439</v>
      </c>
      <c r="G3" s="400" t="s">
        <v>440</v>
      </c>
      <c r="H3" s="400" t="s">
        <v>441</v>
      </c>
      <c r="I3" s="400" t="s">
        <v>442</v>
      </c>
      <c r="J3" s="400" t="s">
        <v>446</v>
      </c>
      <c r="K3" s="400" t="s">
        <v>443</v>
      </c>
      <c r="L3" s="400" t="s">
        <v>444</v>
      </c>
      <c r="M3" s="400" t="s">
        <v>445</v>
      </c>
      <c r="N3" s="400" t="s">
        <v>474</v>
      </c>
      <c r="O3" s="400" t="s">
        <v>447</v>
      </c>
    </row>
  </sheetData>
  <pageMargins left="0.7" right="0.7" top="0.75" bottom="0.75" header="0.3" footer="0.3"/>
  <pageSetup orientation="portrait" horizontalDpi="1200" verticalDpi="12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tint="0.59999389629810485"/>
  </sheetPr>
  <dimension ref="A1:I3"/>
  <sheetViews>
    <sheetView workbookViewId="0">
      <selection activeCell="E23" sqref="E23"/>
    </sheetView>
  </sheetViews>
  <sheetFormatPr defaultColWidth="9.140625" defaultRowHeight="15" x14ac:dyDescent="0.25"/>
  <cols>
    <col min="1" max="1" width="9.140625" style="376"/>
    <col min="2" max="2" width="16.42578125" style="376" customWidth="1"/>
    <col min="3" max="3" width="17.85546875" style="376" customWidth="1"/>
    <col min="4" max="4" width="14.85546875" style="376" customWidth="1"/>
    <col min="5" max="5" width="22.42578125" style="376" customWidth="1"/>
    <col min="6" max="7" width="16.140625" style="376" customWidth="1"/>
    <col min="8" max="8" width="13.5703125" style="376" customWidth="1"/>
    <col min="9" max="9" width="11.7109375" style="376" customWidth="1"/>
    <col min="10" max="16384" width="9.140625" style="376"/>
  </cols>
  <sheetData>
    <row r="1" spans="1:9" x14ac:dyDescent="0.25">
      <c r="A1" s="376" t="s">
        <v>435</v>
      </c>
    </row>
    <row r="3" spans="1:9" s="375" customFormat="1" ht="60" x14ac:dyDescent="0.25">
      <c r="A3" s="401" t="s">
        <v>449</v>
      </c>
      <c r="B3" s="401" t="s">
        <v>448</v>
      </c>
      <c r="C3" s="401" t="s">
        <v>450</v>
      </c>
      <c r="D3" s="516" t="s">
        <v>527</v>
      </c>
      <c r="E3" s="401" t="s">
        <v>453</v>
      </c>
      <c r="F3" s="401" t="s">
        <v>451</v>
      </c>
      <c r="G3" s="401" t="s">
        <v>475</v>
      </c>
      <c r="H3" s="401" t="s">
        <v>476</v>
      </c>
      <c r="I3" s="401" t="s">
        <v>452</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2:J34"/>
  <sheetViews>
    <sheetView workbookViewId="0">
      <selection activeCell="B18" sqref="B18"/>
    </sheetView>
  </sheetViews>
  <sheetFormatPr defaultRowHeight="15" x14ac:dyDescent="0.25"/>
  <cols>
    <col min="2" max="2" width="23.7109375" bestFit="1" customWidth="1"/>
    <col min="3" max="3" width="19.85546875" bestFit="1" customWidth="1"/>
    <col min="4" max="4" width="18.140625" customWidth="1"/>
    <col min="7" max="7" width="23.7109375" bestFit="1" customWidth="1"/>
    <col min="8" max="8" width="16.5703125" bestFit="1" customWidth="1"/>
    <col min="9" max="9" width="11.85546875" bestFit="1" customWidth="1"/>
    <col min="10" max="10" width="12" bestFit="1" customWidth="1"/>
  </cols>
  <sheetData>
    <row r="2" spans="1:9" s="20" customFormat="1" ht="15.75" x14ac:dyDescent="0.25">
      <c r="A2" s="20" t="s">
        <v>257</v>
      </c>
    </row>
    <row r="3" spans="1:9" ht="15.75" thickBot="1" x14ac:dyDescent="0.3"/>
    <row r="4" spans="1:9" ht="15.75" thickBot="1" x14ac:dyDescent="0.3">
      <c r="B4" s="223"/>
      <c r="C4" s="224" t="s">
        <v>261</v>
      </c>
    </row>
    <row r="5" spans="1:9" x14ac:dyDescent="0.25">
      <c r="B5" s="13" t="s">
        <v>258</v>
      </c>
      <c r="C5" s="167">
        <f>'Building Data schedule'!H36</f>
        <v>72</v>
      </c>
    </row>
    <row r="6" spans="1:9" x14ac:dyDescent="0.25">
      <c r="B6" s="15" t="s">
        <v>259</v>
      </c>
      <c r="C6" s="167">
        <f>'Building Data schedule'!H37</f>
        <v>130</v>
      </c>
      <c r="D6" s="612"/>
      <c r="E6" s="612"/>
      <c r="F6" s="612"/>
      <c r="G6" s="612"/>
      <c r="H6" s="612"/>
      <c r="I6" s="612"/>
    </row>
    <row r="7" spans="1:9" x14ac:dyDescent="0.25">
      <c r="B7" s="15" t="s">
        <v>260</v>
      </c>
      <c r="C7" s="167">
        <f>'Building Data schedule'!H38</f>
        <v>57</v>
      </c>
      <c r="D7" s="613" t="s">
        <v>272</v>
      </c>
      <c r="E7" s="612" t="s">
        <v>263</v>
      </c>
      <c r="F7" s="612" t="s">
        <v>264</v>
      </c>
      <c r="G7" s="612" t="s">
        <v>265</v>
      </c>
      <c r="H7" s="612" t="s">
        <v>266</v>
      </c>
      <c r="I7" s="612"/>
    </row>
    <row r="8" spans="1:9" x14ac:dyDescent="0.25">
      <c r="B8" s="151" t="s">
        <v>48</v>
      </c>
      <c r="C8" s="167">
        <v>55</v>
      </c>
      <c r="D8" s="612">
        <f t="shared" ref="D8:D14" si="0">SUM(E8:H8)</f>
        <v>52.753947368421052</v>
      </c>
      <c r="E8" s="612">
        <v>10</v>
      </c>
      <c r="F8" s="612">
        <v>5</v>
      </c>
      <c r="G8" s="614">
        <v>25</v>
      </c>
      <c r="H8" s="615">
        <f>(1000*1.08*35.9)/3040</f>
        <v>12.753947368421052</v>
      </c>
      <c r="I8" s="612" t="s">
        <v>271</v>
      </c>
    </row>
    <row r="9" spans="1:9" x14ac:dyDescent="0.25">
      <c r="B9" s="151" t="s">
        <v>49</v>
      </c>
      <c r="C9" s="167">
        <v>20</v>
      </c>
      <c r="D9" s="612">
        <f t="shared" si="0"/>
        <v>19.75</v>
      </c>
      <c r="E9" s="612">
        <v>6</v>
      </c>
      <c r="F9" s="612">
        <v>1</v>
      </c>
      <c r="G9" s="612">
        <v>0</v>
      </c>
      <c r="H9" s="612">
        <v>12.75</v>
      </c>
      <c r="I9" s="612" t="s">
        <v>533</v>
      </c>
    </row>
    <row r="10" spans="1:9" x14ac:dyDescent="0.25">
      <c r="B10" s="151" t="s">
        <v>11</v>
      </c>
      <c r="C10" s="167">
        <v>45</v>
      </c>
      <c r="D10" s="612">
        <f t="shared" si="0"/>
        <v>42.753947368421052</v>
      </c>
      <c r="E10" s="612">
        <v>10</v>
      </c>
      <c r="F10" s="612">
        <v>5</v>
      </c>
      <c r="G10" s="612">
        <v>15</v>
      </c>
      <c r="H10" s="615">
        <f>(1000*1.08*35.9)/3040</f>
        <v>12.753947368421052</v>
      </c>
      <c r="I10" s="612" t="s">
        <v>271</v>
      </c>
    </row>
    <row r="11" spans="1:9" x14ac:dyDescent="0.25">
      <c r="B11" s="151" t="s">
        <v>384</v>
      </c>
      <c r="C11" s="167">
        <v>45</v>
      </c>
      <c r="D11" s="612">
        <f t="shared" si="0"/>
        <v>42.753947368421052</v>
      </c>
      <c r="E11" s="612">
        <v>10</v>
      </c>
      <c r="F11" s="612">
        <v>5</v>
      </c>
      <c r="G11" s="612">
        <v>15</v>
      </c>
      <c r="H11" s="615">
        <f>(1000*1.08*35.9)/3040</f>
        <v>12.753947368421052</v>
      </c>
      <c r="I11" s="612" t="s">
        <v>271</v>
      </c>
    </row>
    <row r="12" spans="1:9" x14ac:dyDescent="0.25">
      <c r="B12" s="151" t="s">
        <v>50</v>
      </c>
      <c r="C12" s="167">
        <v>50</v>
      </c>
      <c r="D12" s="612">
        <f t="shared" si="0"/>
        <v>47.753947368421052</v>
      </c>
      <c r="E12" s="612">
        <v>10</v>
      </c>
      <c r="F12" s="612">
        <v>5</v>
      </c>
      <c r="G12" s="612">
        <v>20</v>
      </c>
      <c r="H12" s="615">
        <f>(1000*1.08*35.9)/3040</f>
        <v>12.753947368421052</v>
      </c>
      <c r="I12" s="612" t="s">
        <v>271</v>
      </c>
    </row>
    <row r="13" spans="1:9" x14ac:dyDescent="0.25">
      <c r="B13" s="151" t="s">
        <v>51</v>
      </c>
      <c r="C13" s="167">
        <v>50</v>
      </c>
      <c r="D13" s="612">
        <f t="shared" si="0"/>
        <v>47.753947368421052</v>
      </c>
      <c r="E13" s="612">
        <v>10</v>
      </c>
      <c r="F13" s="612">
        <v>5</v>
      </c>
      <c r="G13" s="612">
        <v>20</v>
      </c>
      <c r="H13" s="615">
        <f>(1000*1.08*35.9)/3040</f>
        <v>12.753947368421052</v>
      </c>
      <c r="I13" s="612" t="s">
        <v>271</v>
      </c>
    </row>
    <row r="14" spans="1:9" ht="15.75" thickBot="1" x14ac:dyDescent="0.3">
      <c r="B14" s="152" t="s">
        <v>385</v>
      </c>
      <c r="C14" s="168">
        <v>50</v>
      </c>
      <c r="D14" s="612">
        <f t="shared" si="0"/>
        <v>47.753947368421052</v>
      </c>
      <c r="E14" s="612">
        <v>10</v>
      </c>
      <c r="F14" s="612">
        <v>5</v>
      </c>
      <c r="G14" s="612">
        <v>20</v>
      </c>
      <c r="H14" s="615">
        <f>(1000*1.08*35.9)/3040</f>
        <v>12.753947368421052</v>
      </c>
      <c r="I14" s="612" t="s">
        <v>271</v>
      </c>
    </row>
    <row r="15" spans="1:9" x14ac:dyDescent="0.25">
      <c r="B15" s="249" t="s">
        <v>242</v>
      </c>
      <c r="C15" s="250">
        <v>40</v>
      </c>
      <c r="D15" s="612"/>
      <c r="E15" s="616" t="s">
        <v>267</v>
      </c>
      <c r="F15" s="616" t="s">
        <v>268</v>
      </c>
      <c r="G15" s="616" t="s">
        <v>268</v>
      </c>
      <c r="H15" s="616"/>
      <c r="I15" s="616" t="s">
        <v>270</v>
      </c>
    </row>
    <row r="16" spans="1:9" x14ac:dyDescent="0.25">
      <c r="D16" s="612"/>
      <c r="E16" s="612"/>
      <c r="F16" s="612"/>
      <c r="G16" s="612"/>
      <c r="H16" s="612" t="s">
        <v>269</v>
      </c>
      <c r="I16" s="612"/>
    </row>
    <row r="17" spans="1:10" x14ac:dyDescent="0.25">
      <c r="D17" s="612"/>
      <c r="E17" s="612"/>
      <c r="F17" s="612"/>
      <c r="G17" s="612"/>
      <c r="H17" s="612">
        <v>1.08</v>
      </c>
      <c r="I17" s="612"/>
    </row>
    <row r="19" spans="1:10" s="20" customFormat="1" ht="15.75" x14ac:dyDescent="0.25">
      <c r="A19" s="20" t="s">
        <v>274</v>
      </c>
    </row>
    <row r="20" spans="1:10" ht="15.75" thickBot="1" x14ac:dyDescent="0.3"/>
    <row r="21" spans="1:10" ht="75.75" thickBot="1" x14ac:dyDescent="0.3">
      <c r="B21" s="47" t="s">
        <v>46</v>
      </c>
      <c r="C21" s="49" t="s">
        <v>82</v>
      </c>
      <c r="D21" s="154" t="s">
        <v>278</v>
      </c>
      <c r="F21" s="61"/>
      <c r="G21" s="226" t="s">
        <v>387</v>
      </c>
      <c r="H21" s="49" t="s">
        <v>386</v>
      </c>
      <c r="I21" s="154" t="s">
        <v>278</v>
      </c>
      <c r="J21" s="154" t="s">
        <v>388</v>
      </c>
    </row>
    <row r="22" spans="1:10" x14ac:dyDescent="0.25">
      <c r="B22" s="34" t="s">
        <v>48</v>
      </c>
      <c r="C22" s="162">
        <f>'Building Data schedule'!C23</f>
        <v>0</v>
      </c>
      <c r="D22" s="164">
        <f>IF('Building Data schedule'!D23="AC",'LOCKED SHEET'!C22*C8/1000, 0)</f>
        <v>0</v>
      </c>
      <c r="F22" s="61"/>
      <c r="G22" s="35" t="s">
        <v>384</v>
      </c>
      <c r="H22" s="163">
        <f>'Building Data schedule'!C26</f>
        <v>0</v>
      </c>
      <c r="I22" s="165">
        <f>IF('Building Data schedule'!D26="AC",'LOCKED SHEET'!H22*'LOCKED SHEET'!C11/1000,0)</f>
        <v>0</v>
      </c>
      <c r="J22" s="165">
        <f>H22*C11/1000</f>
        <v>0</v>
      </c>
    </row>
    <row r="23" spans="1:10" ht="15.75" thickBot="1" x14ac:dyDescent="0.3">
      <c r="B23" s="35" t="s">
        <v>49</v>
      </c>
      <c r="C23" s="163">
        <f>'Building Data schedule'!C24</f>
        <v>0</v>
      </c>
      <c r="D23" s="165">
        <f>IF('Building Data schedule'!D24="AC",'LOCKED SHEET'!C23*'LOCKED SHEET'!C9/1000,0)</f>
        <v>0</v>
      </c>
      <c r="F23" s="61"/>
      <c r="G23" s="35" t="s">
        <v>385</v>
      </c>
      <c r="H23" s="163">
        <f>'Building Data schedule'!C29</f>
        <v>0</v>
      </c>
      <c r="I23" s="165">
        <f>IF('Building Data schedule'!D29="AC",'LOCKED SHEET'!H23*'LOCKED SHEET'!C14/1000,0)</f>
        <v>0</v>
      </c>
      <c r="J23" s="165">
        <f>H23*C14/1000</f>
        <v>0</v>
      </c>
    </row>
    <row r="24" spans="1:10" ht="15.75" thickBot="1" x14ac:dyDescent="0.3">
      <c r="B24" s="35" t="s">
        <v>11</v>
      </c>
      <c r="C24" s="163">
        <f>'Building Data schedule'!C25</f>
        <v>0</v>
      </c>
      <c r="D24" s="165">
        <f>IF('Building Data schedule'!D25="AC",'LOCKED SHEET'!C24*'LOCKED SHEET'!C10/1000,0)</f>
        <v>0</v>
      </c>
      <c r="F24" s="61"/>
      <c r="H24" s="155" t="s">
        <v>219</v>
      </c>
      <c r="I24" s="166">
        <f>SUM(I22:I23)</f>
        <v>0</v>
      </c>
      <c r="J24" s="166">
        <f>SUM(J22:J23)</f>
        <v>0</v>
      </c>
    </row>
    <row r="25" spans="1:10" ht="15.75" thickBot="1" x14ac:dyDescent="0.3">
      <c r="B25" s="35" t="s">
        <v>50</v>
      </c>
      <c r="C25" s="163">
        <f>'Building Data schedule'!C27</f>
        <v>0</v>
      </c>
      <c r="D25" s="165">
        <f>IF('Building Data schedule'!D27="AC",'LOCKED SHEET'!C25*'LOCKED SHEET'!C12/1000,0)</f>
        <v>0</v>
      </c>
      <c r="F25" s="61"/>
      <c r="H25" s="155" t="s">
        <v>276</v>
      </c>
      <c r="I25" s="166">
        <f>(I24/3.517)*52*'Building Data schedule'!$C$14</f>
        <v>0</v>
      </c>
      <c r="J25" s="166">
        <f>(J24/3.517)*52*'Building Data schedule'!$C$14</f>
        <v>0</v>
      </c>
    </row>
    <row r="26" spans="1:10" ht="45.75" thickBot="1" x14ac:dyDescent="0.3">
      <c r="B26" s="35" t="s">
        <v>51</v>
      </c>
      <c r="C26" s="163">
        <f>'Building Data schedule'!C28</f>
        <v>0</v>
      </c>
      <c r="D26" s="165">
        <f>IF('Building Data schedule'!D28="AC",'LOCKED SHEET'!C26*'LOCKED SHEET'!C14/1000,0)</f>
        <v>0</v>
      </c>
      <c r="F26" s="61"/>
      <c r="H26" s="156" t="s">
        <v>277</v>
      </c>
      <c r="I26" s="166">
        <f>I25*' ACMV 2.1a'!$F$36</f>
        <v>0</v>
      </c>
      <c r="J26" s="166">
        <f>J25*' ACMV 2.1a'!$D$15</f>
        <v>0</v>
      </c>
    </row>
    <row r="27" spans="1:10" x14ac:dyDescent="0.25">
      <c r="B27" s="35" t="s">
        <v>52</v>
      </c>
      <c r="C27" s="163">
        <f>'Building Data schedule'!C30</f>
        <v>0</v>
      </c>
      <c r="D27" s="165">
        <f>IF('Building Data schedule'!D30="AC",'LOCKED SHEET'!C27*'LOCKED SHEET'!C15/1000,0)</f>
        <v>0</v>
      </c>
      <c r="F27" s="61"/>
    </row>
    <row r="28" spans="1:10" ht="15.75" thickBot="1" x14ac:dyDescent="0.3">
      <c r="B28" s="36" t="s">
        <v>53</v>
      </c>
      <c r="C28" s="163">
        <f>'Building Data schedule'!C31</f>
        <v>0</v>
      </c>
      <c r="D28" s="165">
        <f>IF('Building Data schedule'!D31="AC",'LOCKED SHEET'!C28*'LOCKED SHEET'!C16/1000,0)</f>
        <v>0</v>
      </c>
      <c r="F28" s="61"/>
    </row>
    <row r="29" spans="1:10" ht="15.75" thickBot="1" x14ac:dyDescent="0.3">
      <c r="C29" s="155" t="s">
        <v>219</v>
      </c>
      <c r="D29" s="166">
        <f>SUM(D22:D28)-D27</f>
        <v>0</v>
      </c>
      <c r="F29" s="61"/>
    </row>
    <row r="30" spans="1:10" ht="15.75" thickBot="1" x14ac:dyDescent="0.3">
      <c r="C30" s="155" t="s">
        <v>276</v>
      </c>
      <c r="D30" s="166">
        <f>IF(0,0,(D29/3.517)*52*'Building Data schedule'!$C$14)</f>
        <v>0</v>
      </c>
      <c r="F30" s="61"/>
    </row>
    <row r="31" spans="1:10" ht="30.75" thickBot="1" x14ac:dyDescent="0.3">
      <c r="C31" s="156" t="s">
        <v>277</v>
      </c>
      <c r="D31" s="166">
        <f>IF(0,0,D30*' ACMV 2.1a'!$F$36)</f>
        <v>0</v>
      </c>
      <c r="F31" s="61"/>
    </row>
    <row r="32" spans="1:10" x14ac:dyDescent="0.25">
      <c r="F32" s="61"/>
    </row>
    <row r="33" spans="3:4" x14ac:dyDescent="0.25">
      <c r="C33" t="s">
        <v>420</v>
      </c>
      <c r="D33">
        <f>(D27/3.517)*52*'Building Data schedule'!$C$18</f>
        <v>0</v>
      </c>
    </row>
    <row r="34" spans="3:4" x14ac:dyDescent="0.25">
      <c r="C34" t="s">
        <v>419</v>
      </c>
      <c r="D34">
        <f>D33*' ACMV 2.1a'!F36</f>
        <v>0</v>
      </c>
    </row>
  </sheetData>
  <sheetProtection password="F5A1" sheet="1" objects="1" scenarios="1" selectLockedCells="1" selectUn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3:D175"/>
  <sheetViews>
    <sheetView zoomScaleNormal="100" workbookViewId="0">
      <selection activeCell="D37" sqref="D37"/>
    </sheetView>
  </sheetViews>
  <sheetFormatPr defaultColWidth="9.140625" defaultRowHeight="15" x14ac:dyDescent="0.25"/>
  <cols>
    <col min="1" max="1" width="7.28515625" style="628" customWidth="1"/>
    <col min="2" max="2" width="39.28515625" style="628" customWidth="1"/>
    <col min="3" max="3" width="52.7109375" style="628" customWidth="1"/>
    <col min="4" max="4" width="31.140625" style="628" customWidth="1"/>
    <col min="5" max="16384" width="9.140625" style="628"/>
  </cols>
  <sheetData>
    <row r="23" spans="1:4" x14ac:dyDescent="0.25">
      <c r="A23" s="958" t="s">
        <v>544</v>
      </c>
      <c r="B23" s="958"/>
      <c r="C23" s="958"/>
      <c r="D23" s="958"/>
    </row>
    <row r="24" spans="1:4" ht="15" customHeight="1" x14ac:dyDescent="0.25">
      <c r="A24" s="960" t="s">
        <v>873</v>
      </c>
      <c r="B24" s="960"/>
      <c r="C24" s="960"/>
      <c r="D24" s="960"/>
    </row>
    <row r="25" spans="1:4" ht="15" customHeight="1" x14ac:dyDescent="0.25">
      <c r="A25" s="960"/>
      <c r="B25" s="960"/>
      <c r="C25" s="960"/>
      <c r="D25" s="960"/>
    </row>
    <row r="26" spans="1:4" ht="15" customHeight="1" x14ac:dyDescent="0.25">
      <c r="A26" s="949" t="s">
        <v>548</v>
      </c>
      <c r="B26" s="949"/>
      <c r="C26" s="949"/>
      <c r="D26" s="949"/>
    </row>
    <row r="27" spans="1:4" x14ac:dyDescent="0.25">
      <c r="A27" s="568" t="s">
        <v>547</v>
      </c>
      <c r="B27" s="948" t="s">
        <v>709</v>
      </c>
      <c r="C27" s="949"/>
      <c r="D27" s="949"/>
    </row>
    <row r="28" spans="1:4" x14ac:dyDescent="0.25">
      <c r="A28" s="568" t="s">
        <v>547</v>
      </c>
      <c r="B28" s="949" t="s">
        <v>549</v>
      </c>
      <c r="C28" s="949"/>
      <c r="D28" s="949"/>
    </row>
    <row r="29" spans="1:4" x14ac:dyDescent="0.25">
      <c r="A29" s="568" t="s">
        <v>547</v>
      </c>
      <c r="B29" s="949" t="s">
        <v>550</v>
      </c>
      <c r="C29" s="949"/>
      <c r="D29" s="949"/>
    </row>
    <row r="30" spans="1:4" x14ac:dyDescent="0.25">
      <c r="A30" s="568" t="s">
        <v>547</v>
      </c>
      <c r="B30" s="949" t="s">
        <v>551</v>
      </c>
      <c r="C30" s="949"/>
      <c r="D30" s="949"/>
    </row>
    <row r="31" spans="1:4" x14ac:dyDescent="0.25">
      <c r="A31" s="568" t="s">
        <v>547</v>
      </c>
      <c r="B31" s="949" t="s">
        <v>552</v>
      </c>
      <c r="C31" s="949"/>
      <c r="D31" s="949"/>
    </row>
    <row r="32" spans="1:4" x14ac:dyDescent="0.25">
      <c r="A32" s="568" t="s">
        <v>547</v>
      </c>
      <c r="B32" s="949" t="s">
        <v>710</v>
      </c>
      <c r="C32" s="949"/>
      <c r="D32" s="949"/>
    </row>
    <row r="33" spans="1:4" ht="30" customHeight="1" x14ac:dyDescent="0.25">
      <c r="A33" s="959" t="s">
        <v>711</v>
      </c>
      <c r="B33" s="949"/>
      <c r="C33" s="949"/>
      <c r="D33" s="949"/>
    </row>
    <row r="34" spans="1:4" x14ac:dyDescent="0.25">
      <c r="A34" s="700"/>
      <c r="B34" s="700"/>
      <c r="C34" s="700"/>
      <c r="D34" s="700"/>
    </row>
    <row r="35" spans="1:4" x14ac:dyDescent="0.25">
      <c r="A35" s="958" t="s">
        <v>545</v>
      </c>
      <c r="B35" s="958"/>
      <c r="C35" s="958"/>
      <c r="D35" s="958"/>
    </row>
    <row r="36" spans="1:4" ht="29.25" customHeight="1" x14ac:dyDescent="0.25">
      <c r="A36" s="568" t="s">
        <v>547</v>
      </c>
      <c r="B36" s="948" t="s">
        <v>712</v>
      </c>
      <c r="C36" s="949"/>
      <c r="D36" s="949"/>
    </row>
    <row r="37" spans="1:4" ht="15" customHeight="1" x14ac:dyDescent="0.25">
      <c r="A37" s="568" t="s">
        <v>547</v>
      </c>
      <c r="B37" s="948" t="s">
        <v>553</v>
      </c>
      <c r="C37" s="948"/>
      <c r="D37" s="299"/>
    </row>
    <row r="38" spans="1:4" ht="32.25" customHeight="1" x14ac:dyDescent="0.25">
      <c r="A38" s="568" t="s">
        <v>547</v>
      </c>
      <c r="B38" s="948" t="s">
        <v>713</v>
      </c>
      <c r="C38" s="949"/>
      <c r="D38" s="949"/>
    </row>
    <row r="39" spans="1:4" ht="15" customHeight="1" x14ac:dyDescent="0.25">
      <c r="A39" s="568" t="s">
        <v>547</v>
      </c>
      <c r="B39" s="948" t="s">
        <v>714</v>
      </c>
      <c r="C39" s="948"/>
      <c r="D39" s="611"/>
    </row>
    <row r="40" spans="1:4" ht="33" customHeight="1" x14ac:dyDescent="0.25">
      <c r="A40" s="568" t="s">
        <v>547</v>
      </c>
      <c r="B40" s="948" t="s">
        <v>729</v>
      </c>
      <c r="C40" s="949"/>
      <c r="D40" s="949"/>
    </row>
    <row r="41" spans="1:4" ht="30.75" customHeight="1" x14ac:dyDescent="0.25">
      <c r="A41" s="568" t="s">
        <v>547</v>
      </c>
      <c r="B41" s="948" t="s">
        <v>554</v>
      </c>
      <c r="C41" s="949"/>
      <c r="D41" s="949"/>
    </row>
    <row r="42" spans="1:4" ht="30.75" customHeight="1" x14ac:dyDescent="0.25">
      <c r="A42" s="568" t="s">
        <v>547</v>
      </c>
      <c r="B42" s="948" t="s">
        <v>760</v>
      </c>
      <c r="C42" s="949"/>
      <c r="D42" s="949"/>
    </row>
    <row r="43" spans="1:4" ht="30.75" customHeight="1" x14ac:dyDescent="0.25">
      <c r="A43" s="568"/>
      <c r="B43" s="699"/>
      <c r="C43" s="700"/>
      <c r="D43" s="700"/>
    </row>
    <row r="44" spans="1:4" x14ac:dyDescent="0.25">
      <c r="A44" s="701" t="s">
        <v>715</v>
      </c>
      <c r="B44" s="702"/>
      <c r="C44" s="703"/>
      <c r="D44" s="703"/>
    </row>
    <row r="45" spans="1:4" x14ac:dyDescent="0.25">
      <c r="A45" s="950" t="s">
        <v>546</v>
      </c>
      <c r="B45" s="950"/>
      <c r="C45" s="950"/>
      <c r="D45" s="950"/>
    </row>
    <row r="46" spans="1:4" ht="29.25" customHeight="1" x14ac:dyDescent="0.25">
      <c r="A46" s="568" t="s">
        <v>547</v>
      </c>
      <c r="B46" s="956" t="s">
        <v>716</v>
      </c>
      <c r="C46" s="957"/>
      <c r="D46" s="957"/>
    </row>
    <row r="47" spans="1:4" x14ac:dyDescent="0.25">
      <c r="A47" s="571" t="s">
        <v>664</v>
      </c>
      <c r="B47" s="569"/>
      <c r="C47" s="2"/>
      <c r="D47" s="2"/>
    </row>
    <row r="48" spans="1:4" x14ac:dyDescent="0.25">
      <c r="A48" s="568" t="s">
        <v>547</v>
      </c>
      <c r="B48" s="948" t="s">
        <v>717</v>
      </c>
      <c r="C48" s="949"/>
      <c r="D48" s="949"/>
    </row>
    <row r="49" spans="1:4" ht="46.5" customHeight="1" x14ac:dyDescent="0.25">
      <c r="A49" s="568" t="s">
        <v>547</v>
      </c>
      <c r="B49" s="948" t="s">
        <v>559</v>
      </c>
      <c r="C49" s="949"/>
      <c r="D49" s="949"/>
    </row>
    <row r="50" spans="1:4" x14ac:dyDescent="0.25">
      <c r="A50" s="571" t="s">
        <v>665</v>
      </c>
      <c r="B50" s="569"/>
      <c r="C50" s="2"/>
      <c r="D50" s="2"/>
    </row>
    <row r="51" spans="1:4" x14ac:dyDescent="0.25">
      <c r="A51" s="568" t="s">
        <v>547</v>
      </c>
      <c r="B51" s="948" t="s">
        <v>560</v>
      </c>
      <c r="C51" s="949"/>
      <c r="D51" s="949"/>
    </row>
    <row r="52" spans="1:4" ht="31.5" customHeight="1" x14ac:dyDescent="0.25">
      <c r="A52" s="568" t="s">
        <v>547</v>
      </c>
      <c r="B52" s="952" t="s">
        <v>561</v>
      </c>
      <c r="C52" s="953"/>
      <c r="D52" s="953"/>
    </row>
    <row r="53" spans="1:4" ht="31.5" customHeight="1" x14ac:dyDescent="0.25">
      <c r="A53" s="568" t="s">
        <v>547</v>
      </c>
      <c r="B53" s="948" t="s">
        <v>574</v>
      </c>
      <c r="C53" s="949"/>
      <c r="D53" s="949"/>
    </row>
    <row r="54" spans="1:4" x14ac:dyDescent="0.25">
      <c r="A54" s="571" t="s">
        <v>666</v>
      </c>
      <c r="B54" s="569"/>
      <c r="C54" s="2"/>
      <c r="D54" s="2"/>
    </row>
    <row r="55" spans="1:4" x14ac:dyDescent="0.25">
      <c r="A55" s="568" t="s">
        <v>547</v>
      </c>
      <c r="B55" s="948" t="s">
        <v>567</v>
      </c>
      <c r="C55" s="949"/>
      <c r="D55" s="949"/>
    </row>
    <row r="56" spans="1:4" x14ac:dyDescent="0.25">
      <c r="A56" s="568" t="s">
        <v>547</v>
      </c>
      <c r="B56" s="948" t="s">
        <v>570</v>
      </c>
      <c r="C56" s="949"/>
      <c r="D56" s="949"/>
    </row>
    <row r="57" spans="1:4" ht="30" customHeight="1" x14ac:dyDescent="0.25">
      <c r="A57" s="568" t="s">
        <v>547</v>
      </c>
      <c r="B57" s="948" t="s">
        <v>582</v>
      </c>
      <c r="C57" s="949"/>
      <c r="D57" s="949"/>
    </row>
    <row r="58" spans="1:4" x14ac:dyDescent="0.25">
      <c r="A58" s="571" t="s">
        <v>667</v>
      </c>
      <c r="B58" s="569"/>
      <c r="C58" s="2"/>
      <c r="D58" s="2"/>
    </row>
    <row r="59" spans="1:4" x14ac:dyDescent="0.25">
      <c r="A59" s="568" t="s">
        <v>547</v>
      </c>
      <c r="B59" s="948" t="s">
        <v>571</v>
      </c>
      <c r="C59" s="949"/>
      <c r="D59" s="949"/>
    </row>
    <row r="60" spans="1:4" ht="45" customHeight="1" x14ac:dyDescent="0.25">
      <c r="A60" s="568" t="s">
        <v>547</v>
      </c>
      <c r="B60" s="948" t="s">
        <v>650</v>
      </c>
      <c r="C60" s="949"/>
      <c r="D60" s="949"/>
    </row>
    <row r="61" spans="1:4" x14ac:dyDescent="0.25">
      <c r="A61" s="571" t="s">
        <v>295</v>
      </c>
      <c r="B61" s="569"/>
      <c r="C61" s="2"/>
      <c r="D61" s="2"/>
    </row>
    <row r="62" spans="1:4" x14ac:dyDescent="0.25">
      <c r="A62" s="568" t="s">
        <v>547</v>
      </c>
      <c r="B62" s="948" t="s">
        <v>572</v>
      </c>
      <c r="C62" s="949"/>
      <c r="D62" s="949"/>
    </row>
    <row r="63" spans="1:4" x14ac:dyDescent="0.25">
      <c r="A63" s="571" t="s">
        <v>467</v>
      </c>
      <c r="B63" s="569"/>
      <c r="C63" s="2"/>
      <c r="D63" s="2"/>
    </row>
    <row r="64" spans="1:4" ht="30.75" customHeight="1" x14ac:dyDescent="0.25">
      <c r="A64" s="568" t="s">
        <v>547</v>
      </c>
      <c r="B64" s="948" t="s">
        <v>769</v>
      </c>
      <c r="C64" s="949"/>
      <c r="D64" s="949"/>
    </row>
    <row r="65" spans="1:4" x14ac:dyDescent="0.25">
      <c r="A65" s="568"/>
      <c r="B65" s="948"/>
      <c r="C65" s="949"/>
      <c r="D65" s="949"/>
    </row>
    <row r="66" spans="1:4" x14ac:dyDescent="0.25">
      <c r="A66" s="950" t="s">
        <v>874</v>
      </c>
      <c r="B66" s="950"/>
      <c r="C66" s="950"/>
      <c r="D66" s="950"/>
    </row>
    <row r="67" spans="1:4" ht="30" customHeight="1" x14ac:dyDescent="0.25">
      <c r="A67" s="568" t="s">
        <v>547</v>
      </c>
      <c r="B67" s="948" t="s">
        <v>773</v>
      </c>
      <c r="C67" s="949"/>
      <c r="D67" s="949"/>
    </row>
    <row r="68" spans="1:4" x14ac:dyDescent="0.25">
      <c r="A68" s="571" t="s">
        <v>720</v>
      </c>
      <c r="B68" s="569"/>
      <c r="C68" s="2"/>
      <c r="D68" s="2"/>
    </row>
    <row r="69" spans="1:4" ht="30.75" customHeight="1" x14ac:dyDescent="0.25">
      <c r="A69" s="568" t="s">
        <v>547</v>
      </c>
      <c r="B69" s="948" t="s">
        <v>880</v>
      </c>
      <c r="C69" s="949"/>
      <c r="D69" s="949"/>
    </row>
    <row r="70" spans="1:4" x14ac:dyDescent="0.25">
      <c r="A70" s="568" t="s">
        <v>547</v>
      </c>
      <c r="B70" s="948" t="s">
        <v>881</v>
      </c>
      <c r="C70" s="949"/>
      <c r="D70" s="949"/>
    </row>
    <row r="71" spans="1:4" x14ac:dyDescent="0.25">
      <c r="A71" s="571" t="s">
        <v>721</v>
      </c>
      <c r="B71" s="569"/>
      <c r="C71" s="2"/>
      <c r="D71" s="2"/>
    </row>
    <row r="72" spans="1:4" ht="30" customHeight="1" x14ac:dyDescent="0.25">
      <c r="A72" s="568" t="s">
        <v>547</v>
      </c>
      <c r="B72" s="948" t="s">
        <v>619</v>
      </c>
      <c r="C72" s="949"/>
      <c r="D72" s="949"/>
    </row>
    <row r="73" spans="1:4" x14ac:dyDescent="0.25">
      <c r="A73" s="568" t="s">
        <v>547</v>
      </c>
      <c r="B73" s="948" t="s">
        <v>888</v>
      </c>
      <c r="C73" s="949"/>
      <c r="D73" s="949"/>
    </row>
    <row r="74" spans="1:4" x14ac:dyDescent="0.25">
      <c r="A74" s="568" t="s">
        <v>547</v>
      </c>
      <c r="B74" s="948" t="s">
        <v>653</v>
      </c>
      <c r="C74" s="949"/>
      <c r="D74" s="949"/>
    </row>
    <row r="75" spans="1:4" ht="147.75" customHeight="1" x14ac:dyDescent="0.25">
      <c r="A75" s="568" t="s">
        <v>547</v>
      </c>
      <c r="B75" s="954" t="s">
        <v>822</v>
      </c>
      <c r="C75" s="955"/>
      <c r="D75" s="955"/>
    </row>
    <row r="76" spans="1:4" x14ac:dyDescent="0.25">
      <c r="A76" s="571" t="s">
        <v>584</v>
      </c>
      <c r="B76" s="569"/>
      <c r="C76" s="2"/>
      <c r="D76" s="2"/>
    </row>
    <row r="77" spans="1:4" x14ac:dyDescent="0.25">
      <c r="A77" s="568" t="s">
        <v>547</v>
      </c>
      <c r="B77" s="948" t="s">
        <v>882</v>
      </c>
      <c r="C77" s="949"/>
      <c r="D77" s="949"/>
    </row>
    <row r="78" spans="1:4" x14ac:dyDescent="0.25">
      <c r="A78" s="568" t="s">
        <v>547</v>
      </c>
      <c r="B78" s="948" t="s">
        <v>765</v>
      </c>
      <c r="C78" s="949"/>
      <c r="D78" s="949"/>
    </row>
    <row r="79" spans="1:4" ht="28.5" customHeight="1" x14ac:dyDescent="0.25">
      <c r="A79" s="568" t="s">
        <v>547</v>
      </c>
      <c r="B79" s="948" t="s">
        <v>774</v>
      </c>
      <c r="C79" s="949"/>
      <c r="D79" s="949"/>
    </row>
    <row r="80" spans="1:4" x14ac:dyDescent="0.25">
      <c r="A80" s="571" t="s">
        <v>585</v>
      </c>
      <c r="B80" s="569"/>
      <c r="C80" s="2"/>
      <c r="D80" s="2"/>
    </row>
    <row r="81" spans="1:4" x14ac:dyDescent="0.25">
      <c r="A81" s="568" t="s">
        <v>547</v>
      </c>
      <c r="B81" s="948" t="s">
        <v>882</v>
      </c>
      <c r="C81" s="949"/>
      <c r="D81" s="949"/>
    </row>
    <row r="82" spans="1:4" x14ac:dyDescent="0.25">
      <c r="A82" s="568" t="s">
        <v>547</v>
      </c>
      <c r="B82" s="948" t="s">
        <v>588</v>
      </c>
      <c r="C82" s="949"/>
      <c r="D82" s="949"/>
    </row>
    <row r="83" spans="1:4" ht="28.5" customHeight="1" x14ac:dyDescent="0.25">
      <c r="A83" s="568" t="s">
        <v>547</v>
      </c>
      <c r="B83" s="948" t="s">
        <v>759</v>
      </c>
      <c r="C83" s="949"/>
      <c r="D83" s="949"/>
    </row>
    <row r="84" spans="1:4" x14ac:dyDescent="0.25">
      <c r="A84" s="568" t="s">
        <v>547</v>
      </c>
      <c r="B84" s="948" t="s">
        <v>589</v>
      </c>
      <c r="C84" s="949"/>
      <c r="D84" s="949"/>
    </row>
    <row r="85" spans="1:4" x14ac:dyDescent="0.25">
      <c r="A85" s="571" t="s">
        <v>587</v>
      </c>
      <c r="B85" s="569"/>
      <c r="C85" s="2"/>
      <c r="D85" s="2"/>
    </row>
    <row r="86" spans="1:4" x14ac:dyDescent="0.25">
      <c r="A86" s="568" t="s">
        <v>547</v>
      </c>
      <c r="B86" s="948" t="s">
        <v>882</v>
      </c>
      <c r="C86" s="949"/>
      <c r="D86" s="949"/>
    </row>
    <row r="87" spans="1:4" x14ac:dyDescent="0.25">
      <c r="A87" s="568" t="s">
        <v>547</v>
      </c>
      <c r="B87" s="948" t="s">
        <v>588</v>
      </c>
      <c r="C87" s="949"/>
      <c r="D87" s="949"/>
    </row>
    <row r="88" spans="1:4" x14ac:dyDescent="0.25">
      <c r="A88" s="568" t="s">
        <v>547</v>
      </c>
      <c r="B88" s="948" t="s">
        <v>590</v>
      </c>
      <c r="C88" s="949"/>
      <c r="D88" s="949"/>
    </row>
    <row r="90" spans="1:4" x14ac:dyDescent="0.25">
      <c r="A90" s="950" t="s">
        <v>875</v>
      </c>
      <c r="B90" s="950"/>
      <c r="C90" s="950"/>
      <c r="D90" s="950"/>
    </row>
    <row r="91" spans="1:4" x14ac:dyDescent="0.25">
      <c r="A91" s="568" t="s">
        <v>547</v>
      </c>
      <c r="B91" s="948" t="s">
        <v>883</v>
      </c>
      <c r="C91" s="949"/>
      <c r="D91" s="949"/>
    </row>
    <row r="92" spans="1:4" x14ac:dyDescent="0.25">
      <c r="A92" s="571" t="s">
        <v>236</v>
      </c>
      <c r="B92" s="569"/>
      <c r="C92" s="2"/>
      <c r="D92" s="2"/>
    </row>
    <row r="93" spans="1:4" x14ac:dyDescent="0.25">
      <c r="A93" s="568" t="s">
        <v>547</v>
      </c>
      <c r="B93" s="948" t="s">
        <v>592</v>
      </c>
      <c r="C93" s="949"/>
      <c r="D93" s="949"/>
    </row>
    <row r="94" spans="1:4" ht="43.5" customHeight="1" x14ac:dyDescent="0.25">
      <c r="A94" s="568" t="s">
        <v>547</v>
      </c>
      <c r="B94" s="948" t="s">
        <v>722</v>
      </c>
      <c r="C94" s="949"/>
      <c r="D94" s="949"/>
    </row>
    <row r="95" spans="1:4" x14ac:dyDescent="0.25">
      <c r="A95" s="571" t="s">
        <v>185</v>
      </c>
      <c r="B95" s="569"/>
      <c r="C95" s="2"/>
      <c r="D95" s="2"/>
    </row>
    <row r="96" spans="1:4" ht="15" customHeight="1" x14ac:dyDescent="0.25">
      <c r="A96" s="568" t="s">
        <v>547</v>
      </c>
      <c r="B96" s="948" t="s">
        <v>649</v>
      </c>
      <c r="C96" s="948"/>
      <c r="D96" s="948"/>
    </row>
    <row r="97" spans="1:4" ht="15" customHeight="1" x14ac:dyDescent="0.25">
      <c r="A97" s="568" t="s">
        <v>547</v>
      </c>
      <c r="B97" s="948" t="s">
        <v>648</v>
      </c>
      <c r="C97" s="948"/>
      <c r="D97" s="948"/>
    </row>
    <row r="98" spans="1:4" ht="29.25" customHeight="1" x14ac:dyDescent="0.25">
      <c r="A98" s="568" t="s">
        <v>547</v>
      </c>
      <c r="B98" s="948" t="s">
        <v>889</v>
      </c>
      <c r="C98" s="949"/>
      <c r="D98" s="949"/>
    </row>
    <row r="100" spans="1:4" x14ac:dyDescent="0.25">
      <c r="A100" s="950" t="s">
        <v>876</v>
      </c>
      <c r="B100" s="950"/>
      <c r="C100" s="950"/>
      <c r="D100" s="950"/>
    </row>
    <row r="101" spans="1:4" ht="15" customHeight="1" x14ac:dyDescent="0.25">
      <c r="A101" s="571" t="s">
        <v>400</v>
      </c>
      <c r="B101" s="751"/>
      <c r="C101" s="751"/>
      <c r="D101" s="751"/>
    </row>
    <row r="102" spans="1:4" x14ac:dyDescent="0.25">
      <c r="A102" s="568" t="s">
        <v>547</v>
      </c>
      <c r="B102" s="628" t="s">
        <v>723</v>
      </c>
    </row>
    <row r="103" spans="1:4" ht="152.25" customHeight="1" x14ac:dyDescent="0.25">
      <c r="A103" s="713" t="s">
        <v>547</v>
      </c>
      <c r="B103" s="948" t="s">
        <v>802</v>
      </c>
      <c r="C103" s="949"/>
      <c r="D103" s="949"/>
    </row>
    <row r="104" spans="1:4" x14ac:dyDescent="0.25">
      <c r="A104" s="568" t="s">
        <v>547</v>
      </c>
      <c r="B104" s="628" t="s">
        <v>763</v>
      </c>
    </row>
    <row r="105" spans="1:4" x14ac:dyDescent="0.25">
      <c r="A105" s="571" t="s">
        <v>594</v>
      </c>
      <c r="B105" s="569"/>
      <c r="C105" s="2"/>
      <c r="D105" s="2"/>
    </row>
    <row r="106" spans="1:4" x14ac:dyDescent="0.25">
      <c r="A106" s="568" t="s">
        <v>547</v>
      </c>
      <c r="B106" s="948" t="s">
        <v>884</v>
      </c>
      <c r="C106" s="949"/>
      <c r="D106" s="949"/>
    </row>
    <row r="107" spans="1:4" x14ac:dyDescent="0.25">
      <c r="A107" s="571" t="s">
        <v>866</v>
      </c>
      <c r="B107" s="569"/>
      <c r="C107" s="2"/>
      <c r="D107" s="2"/>
    </row>
    <row r="108" spans="1:4" ht="29.25" customHeight="1" x14ac:dyDescent="0.25">
      <c r="A108" s="568" t="s">
        <v>547</v>
      </c>
      <c r="B108" s="948" t="s">
        <v>775</v>
      </c>
      <c r="C108" s="949"/>
      <c r="D108" s="949"/>
    </row>
    <row r="109" spans="1:4" x14ac:dyDescent="0.25">
      <c r="A109" s="568" t="s">
        <v>547</v>
      </c>
      <c r="B109" s="628" t="s">
        <v>576</v>
      </c>
      <c r="D109" s="700"/>
    </row>
    <row r="110" spans="1:4" x14ac:dyDescent="0.25">
      <c r="A110" s="568" t="s">
        <v>547</v>
      </c>
      <c r="B110" s="628" t="s">
        <v>718</v>
      </c>
    </row>
    <row r="112" spans="1:4" x14ac:dyDescent="0.25">
      <c r="A112" s="950" t="s">
        <v>877</v>
      </c>
      <c r="B112" s="950"/>
      <c r="C112" s="950"/>
      <c r="D112" s="950"/>
    </row>
    <row r="113" spans="1:4" ht="30" customHeight="1" x14ac:dyDescent="0.25">
      <c r="A113" s="568" t="s">
        <v>547</v>
      </c>
      <c r="B113" s="948" t="s">
        <v>779</v>
      </c>
      <c r="C113" s="949"/>
      <c r="D113" s="949"/>
    </row>
    <row r="114" spans="1:4" x14ac:dyDescent="0.25">
      <c r="A114" s="571" t="s">
        <v>842</v>
      </c>
      <c r="B114" s="569"/>
      <c r="C114" s="2"/>
      <c r="D114" s="2"/>
    </row>
    <row r="115" spans="1:4" x14ac:dyDescent="0.25">
      <c r="A115" s="568" t="s">
        <v>547</v>
      </c>
      <c r="B115" s="948" t="s">
        <v>580</v>
      </c>
      <c r="C115" s="949"/>
      <c r="D115" s="949"/>
    </row>
    <row r="116" spans="1:4" ht="44.25" customHeight="1" x14ac:dyDescent="0.25">
      <c r="A116" s="568" t="s">
        <v>547</v>
      </c>
      <c r="B116" s="948" t="s">
        <v>719</v>
      </c>
      <c r="C116" s="949"/>
      <c r="D116" s="949"/>
    </row>
    <row r="117" spans="1:4" x14ac:dyDescent="0.25">
      <c r="A117" s="568"/>
      <c r="B117" s="751"/>
      <c r="C117" s="750"/>
      <c r="D117" s="750"/>
    </row>
    <row r="118" spans="1:4" x14ac:dyDescent="0.25">
      <c r="A118" s="950" t="s">
        <v>878</v>
      </c>
      <c r="B118" s="950"/>
      <c r="C118" s="950"/>
      <c r="D118" s="950"/>
    </row>
    <row r="119" spans="1:4" ht="30" customHeight="1" x14ac:dyDescent="0.25">
      <c r="A119" s="568" t="s">
        <v>547</v>
      </c>
      <c r="B119" s="948" t="s">
        <v>779</v>
      </c>
      <c r="C119" s="949"/>
      <c r="D119" s="949"/>
    </row>
    <row r="120" spans="1:4" x14ac:dyDescent="0.25">
      <c r="A120" s="571" t="s">
        <v>844</v>
      </c>
      <c r="B120" s="569"/>
      <c r="C120" s="2"/>
      <c r="D120" s="2"/>
    </row>
    <row r="121" spans="1:4" ht="29.25" customHeight="1" x14ac:dyDescent="0.25">
      <c r="A121" s="568" t="s">
        <v>547</v>
      </c>
      <c r="B121" s="948" t="s">
        <v>575</v>
      </c>
      <c r="C121" s="949"/>
      <c r="D121" s="949"/>
    </row>
    <row r="122" spans="1:4" x14ac:dyDescent="0.25">
      <c r="A122" s="568"/>
      <c r="B122" s="763"/>
      <c r="C122" s="764"/>
      <c r="D122" s="764"/>
    </row>
    <row r="123" spans="1:4" x14ac:dyDescent="0.25">
      <c r="A123" s="950" t="s">
        <v>879</v>
      </c>
      <c r="B123" s="950"/>
      <c r="C123" s="950"/>
      <c r="D123" s="950"/>
    </row>
    <row r="124" spans="1:4" ht="30" customHeight="1" x14ac:dyDescent="0.25">
      <c r="A124" s="568" t="s">
        <v>547</v>
      </c>
      <c r="B124" s="948" t="s">
        <v>779</v>
      </c>
      <c r="C124" s="949"/>
      <c r="D124" s="949"/>
    </row>
    <row r="125" spans="1:4" x14ac:dyDescent="0.25">
      <c r="A125" s="571" t="s">
        <v>885</v>
      </c>
      <c r="B125" s="569"/>
      <c r="C125" s="2"/>
      <c r="D125" s="2"/>
    </row>
    <row r="126" spans="1:4" x14ac:dyDescent="0.25">
      <c r="A126" s="568" t="s">
        <v>547</v>
      </c>
      <c r="B126" s="948" t="s">
        <v>581</v>
      </c>
      <c r="C126" s="949"/>
      <c r="D126" s="949"/>
    </row>
    <row r="127" spans="1:4" x14ac:dyDescent="0.25">
      <c r="A127" s="568" t="s">
        <v>547</v>
      </c>
      <c r="B127" s="948" t="s">
        <v>886</v>
      </c>
      <c r="C127" s="949"/>
      <c r="D127" s="949"/>
    </row>
    <row r="128" spans="1:4" x14ac:dyDescent="0.25">
      <c r="A128" s="568"/>
      <c r="B128" s="751"/>
      <c r="C128" s="750"/>
      <c r="D128" s="750"/>
    </row>
    <row r="129" spans="1:4" x14ac:dyDescent="0.25">
      <c r="A129" s="950" t="s">
        <v>4</v>
      </c>
      <c r="B129" s="950"/>
      <c r="C129" s="950"/>
      <c r="D129" s="950"/>
    </row>
    <row r="130" spans="1:4" x14ac:dyDescent="0.25">
      <c r="A130" s="568" t="s">
        <v>547</v>
      </c>
      <c r="B130" s="628" t="s">
        <v>723</v>
      </c>
    </row>
    <row r="131" spans="1:4" ht="152.25" customHeight="1" x14ac:dyDescent="0.25">
      <c r="A131" s="713" t="s">
        <v>547</v>
      </c>
      <c r="B131" s="948" t="s">
        <v>802</v>
      </c>
      <c r="C131" s="949"/>
      <c r="D131" s="949"/>
    </row>
    <row r="132" spans="1:4" ht="15" customHeight="1" x14ac:dyDescent="0.25">
      <c r="A132" s="571"/>
      <c r="B132" s="569"/>
      <c r="C132" s="2"/>
      <c r="D132" s="2"/>
    </row>
    <row r="133" spans="1:4" x14ac:dyDescent="0.25">
      <c r="A133" s="950" t="s">
        <v>98</v>
      </c>
      <c r="B133" s="950"/>
      <c r="C133" s="950"/>
      <c r="D133" s="950"/>
    </row>
    <row r="134" spans="1:4" x14ac:dyDescent="0.25">
      <c r="A134" s="571" t="s">
        <v>28</v>
      </c>
      <c r="B134" s="569"/>
      <c r="C134" s="2"/>
      <c r="D134" s="2"/>
    </row>
    <row r="135" spans="1:4" ht="31.5" customHeight="1" x14ac:dyDescent="0.25">
      <c r="A135" s="568" t="s">
        <v>547</v>
      </c>
      <c r="B135" s="948" t="s">
        <v>596</v>
      </c>
      <c r="C135" s="949"/>
      <c r="D135" s="949"/>
    </row>
    <row r="136" spans="1:4" ht="31.5" customHeight="1" x14ac:dyDescent="0.25">
      <c r="A136" s="568" t="s">
        <v>547</v>
      </c>
      <c r="B136" s="948" t="s">
        <v>597</v>
      </c>
      <c r="C136" s="949"/>
      <c r="D136" s="949"/>
    </row>
    <row r="137" spans="1:4" x14ac:dyDescent="0.25">
      <c r="A137" s="571" t="s">
        <v>45</v>
      </c>
      <c r="B137" s="569"/>
      <c r="C137" s="2"/>
      <c r="D137" s="2"/>
    </row>
    <row r="138" spans="1:4" ht="31.5" customHeight="1" x14ac:dyDescent="0.25">
      <c r="A138" s="568" t="s">
        <v>547</v>
      </c>
      <c r="B138" s="948" t="s">
        <v>821</v>
      </c>
      <c r="C138" s="949"/>
      <c r="D138" s="949"/>
    </row>
    <row r="139" spans="1:4" ht="31.5" customHeight="1" x14ac:dyDescent="0.25">
      <c r="A139" s="568" t="s">
        <v>547</v>
      </c>
      <c r="B139" s="948" t="s">
        <v>599</v>
      </c>
      <c r="C139" s="949"/>
      <c r="D139" s="949"/>
    </row>
    <row r="141" spans="1:4" x14ac:dyDescent="0.25">
      <c r="A141" s="950" t="s">
        <v>600</v>
      </c>
      <c r="B141" s="950"/>
      <c r="C141" s="950"/>
      <c r="D141" s="950"/>
    </row>
    <row r="142" spans="1:4" ht="30" customHeight="1" x14ac:dyDescent="0.25">
      <c r="A142" s="568" t="s">
        <v>547</v>
      </c>
      <c r="B142" s="948" t="s">
        <v>601</v>
      </c>
      <c r="C142" s="949"/>
      <c r="D142" s="949"/>
    </row>
    <row r="143" spans="1:4" x14ac:dyDescent="0.25">
      <c r="A143" s="571" t="s">
        <v>724</v>
      </c>
      <c r="B143" s="569"/>
      <c r="C143" s="2"/>
      <c r="D143" s="2"/>
    </row>
    <row r="144" spans="1:4" x14ac:dyDescent="0.25">
      <c r="A144" s="568" t="s">
        <v>547</v>
      </c>
      <c r="B144" s="948" t="s">
        <v>606</v>
      </c>
      <c r="C144" s="949"/>
      <c r="D144" s="949"/>
    </row>
    <row r="145" spans="1:4" x14ac:dyDescent="0.25">
      <c r="A145" s="568" t="s">
        <v>547</v>
      </c>
      <c r="B145" s="948" t="s">
        <v>607</v>
      </c>
      <c r="C145" s="949"/>
      <c r="D145" s="949"/>
    </row>
    <row r="146" spans="1:4" x14ac:dyDescent="0.25">
      <c r="A146" s="568" t="s">
        <v>547</v>
      </c>
      <c r="B146" s="948" t="s">
        <v>725</v>
      </c>
      <c r="C146" s="949"/>
      <c r="D146" s="949"/>
    </row>
    <row r="147" spans="1:4" x14ac:dyDescent="0.25">
      <c r="A147" s="568" t="s">
        <v>547</v>
      </c>
      <c r="B147" s="948" t="s">
        <v>603</v>
      </c>
      <c r="C147" s="949"/>
      <c r="D147" s="949"/>
    </row>
    <row r="148" spans="1:4" x14ac:dyDescent="0.25">
      <c r="A148" s="568" t="s">
        <v>547</v>
      </c>
      <c r="B148" s="628" t="s">
        <v>604</v>
      </c>
    </row>
    <row r="149" spans="1:4" x14ac:dyDescent="0.25">
      <c r="A149" s="568" t="s">
        <v>547</v>
      </c>
      <c r="B149" s="628" t="s">
        <v>605</v>
      </c>
    </row>
    <row r="151" spans="1:4" x14ac:dyDescent="0.25">
      <c r="A151" s="950" t="s">
        <v>608</v>
      </c>
      <c r="B151" s="950"/>
      <c r="C151" s="950"/>
      <c r="D151" s="950"/>
    </row>
    <row r="152" spans="1:4" ht="30" customHeight="1" x14ac:dyDescent="0.25">
      <c r="A152" s="568" t="s">
        <v>547</v>
      </c>
      <c r="B152" s="948" t="s">
        <v>609</v>
      </c>
      <c r="C152" s="949"/>
      <c r="D152" s="949"/>
    </row>
    <row r="153" spans="1:4" ht="29.25" customHeight="1" x14ac:dyDescent="0.25">
      <c r="A153" s="568" t="s">
        <v>547</v>
      </c>
      <c r="B153" s="948" t="s">
        <v>887</v>
      </c>
      <c r="C153" s="949"/>
      <c r="D153" s="949"/>
    </row>
    <row r="154" spans="1:4" x14ac:dyDescent="0.25">
      <c r="A154" s="571" t="s">
        <v>356</v>
      </c>
      <c r="B154" s="569"/>
      <c r="C154" s="2"/>
      <c r="D154" s="2"/>
    </row>
    <row r="155" spans="1:4" ht="30" customHeight="1" x14ac:dyDescent="0.25">
      <c r="A155" s="568" t="s">
        <v>547</v>
      </c>
      <c r="B155" s="948" t="s">
        <v>726</v>
      </c>
      <c r="C155" s="949"/>
      <c r="D155" s="949"/>
    </row>
    <row r="156" spans="1:4" x14ac:dyDescent="0.25">
      <c r="A156" s="568" t="s">
        <v>547</v>
      </c>
      <c r="B156" s="948" t="s">
        <v>643</v>
      </c>
      <c r="C156" s="949"/>
      <c r="D156" s="949"/>
    </row>
    <row r="157" spans="1:4" x14ac:dyDescent="0.25">
      <c r="A157" s="950" t="s">
        <v>100</v>
      </c>
      <c r="B157" s="950"/>
      <c r="C157" s="950"/>
      <c r="D157" s="950"/>
    </row>
    <row r="158" spans="1:4" ht="30" customHeight="1" x14ac:dyDescent="0.25">
      <c r="A158" s="568" t="s">
        <v>547</v>
      </c>
      <c r="B158" s="948" t="s">
        <v>727</v>
      </c>
      <c r="C158" s="949"/>
      <c r="D158" s="949"/>
    </row>
    <row r="159" spans="1:4" x14ac:dyDescent="0.25">
      <c r="A159" s="568" t="s">
        <v>547</v>
      </c>
      <c r="B159" s="628" t="s">
        <v>610</v>
      </c>
    </row>
    <row r="160" spans="1:4" x14ac:dyDescent="0.25">
      <c r="A160" s="568" t="s">
        <v>547</v>
      </c>
      <c r="B160" s="628" t="s">
        <v>728</v>
      </c>
    </row>
    <row r="162" spans="1:4" x14ac:dyDescent="0.25">
      <c r="A162" s="947" t="s">
        <v>611</v>
      </c>
      <c r="B162" s="947"/>
      <c r="C162" s="947"/>
      <c r="D162" s="947"/>
    </row>
    <row r="163" spans="1:4" ht="30" customHeight="1" x14ac:dyDescent="0.25">
      <c r="A163" s="568" t="s">
        <v>547</v>
      </c>
      <c r="B163" s="948" t="s">
        <v>612</v>
      </c>
      <c r="C163" s="949"/>
      <c r="D163" s="949"/>
    </row>
    <row r="164" spans="1:4" x14ac:dyDescent="0.25">
      <c r="A164" s="568"/>
    </row>
    <row r="165" spans="1:4" x14ac:dyDescent="0.25">
      <c r="A165" s="947" t="s">
        <v>613</v>
      </c>
      <c r="B165" s="947"/>
      <c r="C165" s="947"/>
      <c r="D165" s="947"/>
    </row>
    <row r="166" spans="1:4" x14ac:dyDescent="0.25">
      <c r="A166" s="568" t="s">
        <v>547</v>
      </c>
      <c r="B166" s="948" t="s">
        <v>614</v>
      </c>
      <c r="C166" s="949"/>
      <c r="D166" s="949"/>
    </row>
    <row r="167" spans="1:4" x14ac:dyDescent="0.25">
      <c r="A167" s="568" t="s">
        <v>547</v>
      </c>
      <c r="B167" s="948" t="s">
        <v>617</v>
      </c>
      <c r="C167" s="949"/>
      <c r="D167" s="949"/>
    </row>
    <row r="169" spans="1:4" x14ac:dyDescent="0.25">
      <c r="A169" s="947" t="s">
        <v>615</v>
      </c>
      <c r="B169" s="947"/>
      <c r="C169" s="947"/>
      <c r="D169" s="947"/>
    </row>
    <row r="170" spans="1:4" x14ac:dyDescent="0.25">
      <c r="A170" s="568" t="s">
        <v>547</v>
      </c>
      <c r="B170" s="948" t="s">
        <v>616</v>
      </c>
      <c r="C170" s="949"/>
      <c r="D170" s="949"/>
    </row>
    <row r="171" spans="1:4" x14ac:dyDescent="0.25">
      <c r="A171" s="568" t="s">
        <v>547</v>
      </c>
      <c r="B171" s="948" t="s">
        <v>617</v>
      </c>
      <c r="C171" s="949"/>
      <c r="D171" s="949"/>
    </row>
    <row r="173" spans="1:4" x14ac:dyDescent="0.25">
      <c r="A173" s="951" t="s">
        <v>696</v>
      </c>
      <c r="B173" s="951"/>
      <c r="C173" s="951"/>
      <c r="D173" s="951"/>
    </row>
    <row r="174" spans="1:4" s="612" customFormat="1" x14ac:dyDescent="0.25">
      <c r="A174" s="736" t="s">
        <v>547</v>
      </c>
      <c r="B174" s="612" t="s">
        <v>697</v>
      </c>
    </row>
    <row r="175" spans="1:4" s="612" customFormat="1" x14ac:dyDescent="0.25">
      <c r="A175" s="736" t="s">
        <v>547</v>
      </c>
      <c r="B175" s="945" t="s">
        <v>617</v>
      </c>
      <c r="C175" s="946"/>
      <c r="D175" s="946"/>
    </row>
  </sheetData>
  <sheetProtection algorithmName="SHA-512" hashValue="mZrAOAzjgc8ou9kDc3N9jieCXZVoh7Wyl8w30P06GKT/WmUixgTqum/bUzz1M6L/O+/IuTfTdtrPMyq1C9JZ3g==" saltValue="20LQZblzxEeK299mFQrJkQ==" spinCount="100000" sheet="1" selectLockedCells="1"/>
  <mergeCells count="103">
    <mergeCell ref="B46:D46"/>
    <mergeCell ref="B48:D48"/>
    <mergeCell ref="B49:D49"/>
    <mergeCell ref="B51:D51"/>
    <mergeCell ref="B29:D29"/>
    <mergeCell ref="A23:D23"/>
    <mergeCell ref="A26:D26"/>
    <mergeCell ref="B27:D27"/>
    <mergeCell ref="B28:D28"/>
    <mergeCell ref="A45:D45"/>
    <mergeCell ref="B30:D30"/>
    <mergeCell ref="B31:D31"/>
    <mergeCell ref="B32:D32"/>
    <mergeCell ref="A33:D33"/>
    <mergeCell ref="A35:D35"/>
    <mergeCell ref="B36:D36"/>
    <mergeCell ref="B37:C37"/>
    <mergeCell ref="B38:D38"/>
    <mergeCell ref="B39:C39"/>
    <mergeCell ref="B40:D40"/>
    <mergeCell ref="B41:D41"/>
    <mergeCell ref="B42:D42"/>
    <mergeCell ref="A24:D25"/>
    <mergeCell ref="A66:D66"/>
    <mergeCell ref="B82:D82"/>
    <mergeCell ref="B69:D69"/>
    <mergeCell ref="B70:D70"/>
    <mergeCell ref="B72:D72"/>
    <mergeCell ref="B73:D73"/>
    <mergeCell ref="B74:D74"/>
    <mergeCell ref="B75:D75"/>
    <mergeCell ref="B77:D77"/>
    <mergeCell ref="B78:D78"/>
    <mergeCell ref="B79:D79"/>
    <mergeCell ref="B67:D67"/>
    <mergeCell ref="B81:D81"/>
    <mergeCell ref="B52:D52"/>
    <mergeCell ref="B53:D53"/>
    <mergeCell ref="B55:D55"/>
    <mergeCell ref="B56:D56"/>
    <mergeCell ref="B57:D57"/>
    <mergeCell ref="B64:D64"/>
    <mergeCell ref="B65:D65"/>
    <mergeCell ref="B59:D59"/>
    <mergeCell ref="B60:D60"/>
    <mergeCell ref="B62:D62"/>
    <mergeCell ref="B106:D106"/>
    <mergeCell ref="A118:D118"/>
    <mergeCell ref="B119:D119"/>
    <mergeCell ref="A129:D129"/>
    <mergeCell ref="B156:D156"/>
    <mergeCell ref="B145:D145"/>
    <mergeCell ref="B146:D146"/>
    <mergeCell ref="B131:D131"/>
    <mergeCell ref="B113:D113"/>
    <mergeCell ref="B97:D97"/>
    <mergeCell ref="B83:D83"/>
    <mergeCell ref="A90:D90"/>
    <mergeCell ref="B91:D91"/>
    <mergeCell ref="B93:D93"/>
    <mergeCell ref="B94:D94"/>
    <mergeCell ref="B139:D139"/>
    <mergeCell ref="A100:D100"/>
    <mergeCell ref="B98:D98"/>
    <mergeCell ref="B84:D84"/>
    <mergeCell ref="B86:D86"/>
    <mergeCell ref="B87:D87"/>
    <mergeCell ref="B88:D88"/>
    <mergeCell ref="B96:D96"/>
    <mergeCell ref="B103:D103"/>
    <mergeCell ref="A133:D133"/>
    <mergeCell ref="B135:D135"/>
    <mergeCell ref="B136:D136"/>
    <mergeCell ref="B138:D138"/>
    <mergeCell ref="A112:D112"/>
    <mergeCell ref="B121:D121"/>
    <mergeCell ref="B108:D108"/>
    <mergeCell ref="B115:D115"/>
    <mergeCell ref="B116:D116"/>
    <mergeCell ref="B175:D175"/>
    <mergeCell ref="A165:D165"/>
    <mergeCell ref="B166:D166"/>
    <mergeCell ref="B167:D167"/>
    <mergeCell ref="A169:D169"/>
    <mergeCell ref="B170:D170"/>
    <mergeCell ref="B171:D171"/>
    <mergeCell ref="A123:D123"/>
    <mergeCell ref="B124:D124"/>
    <mergeCell ref="B126:D126"/>
    <mergeCell ref="B127:D127"/>
    <mergeCell ref="A157:D157"/>
    <mergeCell ref="B158:D158"/>
    <mergeCell ref="A141:D141"/>
    <mergeCell ref="B142:D142"/>
    <mergeCell ref="B153:D153"/>
    <mergeCell ref="B155:D155"/>
    <mergeCell ref="A173:D173"/>
    <mergeCell ref="B163:D163"/>
    <mergeCell ref="B147:D147"/>
    <mergeCell ref="A151:D151"/>
    <mergeCell ref="B152:D152"/>
    <mergeCell ref="A162:D162"/>
    <mergeCell ref="B144:D144"/>
  </mergeCells>
  <pageMargins left="0.7" right="0.7" top="0.75" bottom="0.75" header="0.3" footer="0.3"/>
  <pageSetup paperSize="9" scale="66" orientation="portrait" r:id="rId1"/>
  <rowBreaks count="2" manualBreakCount="2">
    <brk id="111" max="16383" man="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F41"/>
  <sheetViews>
    <sheetView workbookViewId="0">
      <selection activeCell="F16" sqref="F16"/>
    </sheetView>
  </sheetViews>
  <sheetFormatPr defaultColWidth="9.140625" defaultRowHeight="15" x14ac:dyDescent="0.25"/>
  <cols>
    <col min="1" max="1" width="4" style="376" customWidth="1"/>
    <col min="2" max="2" width="24" style="376" customWidth="1"/>
    <col min="3" max="3" width="28.85546875" style="376" customWidth="1"/>
    <col min="4" max="4" width="16.42578125" style="376" customWidth="1"/>
    <col min="5" max="5" width="16.85546875" style="376" customWidth="1"/>
    <col min="6" max="6" width="31" style="376" customWidth="1"/>
    <col min="7" max="7" width="16.140625" style="376" customWidth="1"/>
    <col min="8" max="8" width="13.5703125" style="376" customWidth="1"/>
    <col min="9" max="9" width="11.7109375" style="376" customWidth="1"/>
    <col min="10" max="16384" width="9.140625" style="376"/>
  </cols>
  <sheetData>
    <row r="1" spans="1:6" x14ac:dyDescent="0.25">
      <c r="A1" s="525" t="s">
        <v>748</v>
      </c>
      <c r="B1" s="525"/>
      <c r="C1" s="525"/>
      <c r="D1" s="525"/>
      <c r="E1" s="525"/>
    </row>
    <row r="2" spans="1:6" x14ac:dyDescent="0.25">
      <c r="A2" s="525"/>
      <c r="B2" s="525"/>
      <c r="C2" s="525"/>
      <c r="D2" s="525"/>
      <c r="E2" s="525"/>
    </row>
    <row r="3" spans="1:6" ht="15.75" thickBot="1" x14ac:dyDescent="0.3">
      <c r="A3" s="525"/>
      <c r="B3" s="627" t="s">
        <v>755</v>
      </c>
      <c r="C3" s="525"/>
      <c r="D3" s="525"/>
      <c r="E3" s="525"/>
    </row>
    <row r="4" spans="1:6" ht="15.75" thickBot="1" x14ac:dyDescent="0.3">
      <c r="A4" s="525"/>
      <c r="B4" s="627"/>
      <c r="C4" s="525"/>
      <c r="D4" s="961" t="s">
        <v>701</v>
      </c>
      <c r="E4" s="962"/>
      <c r="F4" s="723" t="s">
        <v>390</v>
      </c>
    </row>
    <row r="5" spans="1:6" ht="30.75" thickBot="1" x14ac:dyDescent="0.3">
      <c r="A5" s="525"/>
      <c r="B5" s="626"/>
      <c r="C5" s="625" t="s">
        <v>621</v>
      </c>
      <c r="D5" s="724" t="s">
        <v>622</v>
      </c>
      <c r="E5" s="625" t="s">
        <v>623</v>
      </c>
      <c r="F5" s="625" t="s">
        <v>756</v>
      </c>
    </row>
    <row r="6" spans="1:6" ht="27" customHeight="1" x14ac:dyDescent="0.25">
      <c r="A6" s="525"/>
      <c r="B6" s="721" t="s">
        <v>686</v>
      </c>
      <c r="C6" s="721" t="s">
        <v>684</v>
      </c>
      <c r="D6" s="722">
        <v>0.47</v>
      </c>
      <c r="E6" s="722">
        <v>0.67</v>
      </c>
      <c r="F6" s="722" t="s">
        <v>757</v>
      </c>
    </row>
    <row r="7" spans="1:6" ht="29.25" thickBot="1" x14ac:dyDescent="0.3">
      <c r="A7" s="525"/>
      <c r="B7" s="719" t="s">
        <v>687</v>
      </c>
      <c r="C7" s="629" t="s">
        <v>685</v>
      </c>
      <c r="D7" s="720" t="s">
        <v>693</v>
      </c>
      <c r="E7" s="630" t="s">
        <v>694</v>
      </c>
      <c r="F7" s="630">
        <v>0.17</v>
      </c>
    </row>
    <row r="8" spans="1:6" x14ac:dyDescent="0.25">
      <c r="A8" s="525"/>
      <c r="B8" s="631"/>
      <c r="C8" s="525"/>
      <c r="D8" s="525"/>
      <c r="E8" s="525"/>
    </row>
    <row r="9" spans="1:6" ht="15.75" thickBot="1" x14ac:dyDescent="0.3">
      <c r="A9" s="525"/>
      <c r="B9" s="627" t="s">
        <v>761</v>
      </c>
      <c r="C9" s="525"/>
      <c r="D9" s="525"/>
      <c r="E9" s="525"/>
    </row>
    <row r="10" spans="1:6" ht="31.5" customHeight="1" thickBot="1" x14ac:dyDescent="0.3">
      <c r="A10" s="525"/>
      <c r="B10" s="627"/>
      <c r="C10" s="525"/>
      <c r="D10" s="156" t="s">
        <v>701</v>
      </c>
      <c r="E10" s="723" t="s">
        <v>390</v>
      </c>
    </row>
    <row r="11" spans="1:6" ht="27" customHeight="1" thickBot="1" x14ac:dyDescent="0.3">
      <c r="A11" s="525"/>
      <c r="B11" s="626"/>
      <c r="C11" s="625" t="s">
        <v>621</v>
      </c>
      <c r="D11" s="963" t="s">
        <v>756</v>
      </c>
      <c r="E11" s="964"/>
    </row>
    <row r="12" spans="1:6" ht="28.5" x14ac:dyDescent="0.25">
      <c r="A12" s="525"/>
      <c r="B12" s="721" t="s">
        <v>686</v>
      </c>
      <c r="C12" s="721" t="s">
        <v>684</v>
      </c>
      <c r="D12" s="722">
        <v>0.35</v>
      </c>
      <c r="E12" s="722" t="s">
        <v>757</v>
      </c>
    </row>
    <row r="13" spans="1:6" ht="29.25" thickBot="1" x14ac:dyDescent="0.3">
      <c r="A13" s="525"/>
      <c r="B13" s="719" t="s">
        <v>687</v>
      </c>
      <c r="C13" s="629" t="s">
        <v>685</v>
      </c>
      <c r="D13" s="720" t="s">
        <v>758</v>
      </c>
      <c r="E13" s="630">
        <v>0.17</v>
      </c>
    </row>
    <row r="14" spans="1:6" x14ac:dyDescent="0.25">
      <c r="A14" s="525"/>
      <c r="B14" s="631"/>
      <c r="C14" s="525"/>
      <c r="D14" s="525"/>
      <c r="E14" s="525"/>
    </row>
    <row r="15" spans="1:6" x14ac:dyDescent="0.25">
      <c r="A15" s="525"/>
      <c r="B15" s="376" t="s">
        <v>690</v>
      </c>
    </row>
    <row r="16" spans="1:6" ht="32.25" customHeight="1" x14ac:dyDescent="0.25">
      <c r="A16" s="525"/>
      <c r="B16" s="968" t="s">
        <v>691</v>
      </c>
      <c r="C16" s="968"/>
      <c r="D16" s="968"/>
      <c r="E16" s="968"/>
    </row>
    <row r="17" spans="1:6" ht="15" customHeight="1" x14ac:dyDescent="0.25">
      <c r="A17" s="525"/>
      <c r="B17" s="969" t="s">
        <v>688</v>
      </c>
      <c r="C17" s="969"/>
      <c r="D17" s="969"/>
      <c r="E17" s="969"/>
    </row>
    <row r="18" spans="1:6" ht="15" customHeight="1" x14ac:dyDescent="0.25">
      <c r="A18" s="525"/>
      <c r="B18" s="969" t="s">
        <v>692</v>
      </c>
      <c r="C18" s="969"/>
      <c r="D18" s="969"/>
      <c r="E18" s="969"/>
    </row>
    <row r="19" spans="1:6" ht="15" customHeight="1" x14ac:dyDescent="0.25">
      <c r="A19" s="525"/>
      <c r="B19" s="969" t="s">
        <v>689</v>
      </c>
      <c r="C19" s="969"/>
      <c r="D19" s="969"/>
      <c r="E19" s="969"/>
    </row>
    <row r="20" spans="1:6" ht="15" customHeight="1" x14ac:dyDescent="0.25">
      <c r="A20" s="525"/>
      <c r="B20" s="969" t="s">
        <v>744</v>
      </c>
      <c r="C20" s="969"/>
      <c r="D20" s="969"/>
      <c r="E20" s="969"/>
    </row>
    <row r="21" spans="1:6" ht="15" customHeight="1" x14ac:dyDescent="0.25">
      <c r="A21" s="525"/>
      <c r="B21" s="969" t="s">
        <v>745</v>
      </c>
      <c r="C21" s="969"/>
      <c r="D21" s="969"/>
      <c r="E21" s="969"/>
    </row>
    <row r="22" spans="1:6" x14ac:dyDescent="0.25">
      <c r="A22" s="525"/>
      <c r="B22" s="970" t="s">
        <v>746</v>
      </c>
      <c r="C22" s="970"/>
      <c r="D22" s="970"/>
      <c r="E22" s="970"/>
    </row>
    <row r="23" spans="1:6" x14ac:dyDescent="0.25">
      <c r="A23" s="525"/>
      <c r="B23" s="632"/>
      <c r="C23" s="525"/>
      <c r="D23" s="525"/>
      <c r="E23" s="525"/>
    </row>
    <row r="24" spans="1:6" x14ac:dyDescent="0.25">
      <c r="A24" s="646"/>
      <c r="B24" s="810" t="s">
        <v>747</v>
      </c>
      <c r="C24" s="811"/>
      <c r="D24" s="811"/>
      <c r="E24" s="811"/>
      <c r="F24" s="812"/>
    </row>
    <row r="25" spans="1:6" x14ac:dyDescent="0.25">
      <c r="A25" s="525"/>
      <c r="B25" s="632"/>
      <c r="C25" s="525"/>
      <c r="D25" s="525"/>
      <c r="E25" s="525"/>
    </row>
    <row r="26" spans="1:6" x14ac:dyDescent="0.25">
      <c r="A26" s="525"/>
      <c r="B26" s="967" t="s">
        <v>624</v>
      </c>
      <c r="C26" s="967"/>
      <c r="D26" s="967" t="s">
        <v>695</v>
      </c>
      <c r="E26" s="967"/>
    </row>
    <row r="27" spans="1:6" x14ac:dyDescent="0.25">
      <c r="A27" s="525"/>
      <c r="B27" s="966" t="s">
        <v>803</v>
      </c>
      <c r="C27" s="966"/>
      <c r="D27" s="966" t="s">
        <v>804</v>
      </c>
      <c r="E27" s="966"/>
    </row>
    <row r="28" spans="1:6" ht="36" customHeight="1" x14ac:dyDescent="0.25">
      <c r="A28" s="525"/>
      <c r="B28" s="966" t="s">
        <v>625</v>
      </c>
      <c r="C28" s="966"/>
      <c r="D28" s="966" t="s">
        <v>626</v>
      </c>
      <c r="E28" s="966"/>
    </row>
    <row r="29" spans="1:6" ht="28.5" customHeight="1" x14ac:dyDescent="0.25">
      <c r="A29" s="525"/>
      <c r="B29" s="966" t="s">
        <v>627</v>
      </c>
      <c r="C29" s="966"/>
      <c r="D29" s="966" t="s">
        <v>628</v>
      </c>
      <c r="E29" s="966"/>
    </row>
    <row r="30" spans="1:6" ht="28.5" customHeight="1" x14ac:dyDescent="0.25">
      <c r="A30" s="525"/>
      <c r="B30" s="966" t="s">
        <v>629</v>
      </c>
      <c r="C30" s="966"/>
      <c r="D30" s="966" t="s">
        <v>630</v>
      </c>
      <c r="E30" s="966"/>
    </row>
    <row r="31" spans="1:6" ht="28.5" customHeight="1" x14ac:dyDescent="0.25">
      <c r="A31" s="525"/>
      <c r="B31" s="966" t="s">
        <v>631</v>
      </c>
      <c r="C31" s="966"/>
      <c r="D31" s="966" t="s">
        <v>632</v>
      </c>
      <c r="E31" s="966"/>
    </row>
    <row r="32" spans="1:6" ht="28.5" customHeight="1" x14ac:dyDescent="0.25">
      <c r="A32" s="525"/>
      <c r="B32" s="966" t="s">
        <v>633</v>
      </c>
      <c r="C32" s="966"/>
      <c r="D32" s="966" t="s">
        <v>634</v>
      </c>
      <c r="E32" s="966"/>
    </row>
    <row r="33" spans="1:5" ht="28.5" customHeight="1" x14ac:dyDescent="0.25">
      <c r="A33" s="525"/>
      <c r="B33" s="966" t="s">
        <v>635</v>
      </c>
      <c r="C33" s="966"/>
      <c r="D33" s="966" t="s">
        <v>630</v>
      </c>
      <c r="E33" s="966"/>
    </row>
    <row r="34" spans="1:5" ht="28.5" customHeight="1" x14ac:dyDescent="0.25">
      <c r="A34" s="525"/>
      <c r="B34" s="966" t="s">
        <v>636</v>
      </c>
      <c r="C34" s="966"/>
      <c r="D34" s="966" t="s">
        <v>637</v>
      </c>
      <c r="E34" s="966"/>
    </row>
    <row r="35" spans="1:5" ht="28.5" customHeight="1" x14ac:dyDescent="0.25">
      <c r="A35" s="525"/>
      <c r="B35" s="966" t="s">
        <v>638</v>
      </c>
      <c r="C35" s="966"/>
      <c r="D35" s="966" t="s">
        <v>639</v>
      </c>
      <c r="E35" s="966"/>
    </row>
    <row r="36" spans="1:5" ht="28.5" customHeight="1" x14ac:dyDescent="0.25">
      <c r="A36" s="525"/>
      <c r="B36" s="966" t="s">
        <v>640</v>
      </c>
      <c r="C36" s="966"/>
      <c r="D36" s="966" t="s">
        <v>641</v>
      </c>
      <c r="E36" s="966"/>
    </row>
    <row r="37" spans="1:5" x14ac:dyDescent="0.25">
      <c r="A37" s="525"/>
      <c r="B37" s="633"/>
      <c r="C37" s="525"/>
      <c r="D37" s="525"/>
      <c r="E37" s="525"/>
    </row>
    <row r="38" spans="1:5" ht="35.25" customHeight="1" x14ac:dyDescent="0.25">
      <c r="A38" s="525"/>
      <c r="B38" s="668"/>
      <c r="C38" s="965"/>
      <c r="D38" s="965"/>
      <c r="E38" s="965"/>
    </row>
    <row r="39" spans="1:5" ht="52.5" customHeight="1" x14ac:dyDescent="0.25">
      <c r="B39" s="634"/>
      <c r="C39" s="965"/>
      <c r="D39" s="965"/>
      <c r="E39" s="965"/>
    </row>
    <row r="41" spans="1:5" x14ac:dyDescent="0.25">
      <c r="B41" s="669"/>
    </row>
  </sheetData>
  <sheetProtection algorithmName="SHA-512" hashValue="6tIJTtypWLHuaJ6olQCC+yirWCi4hLCcp/GHtECOgP3VehzSp4tyMSkF+IelikBDm/twWMg7F7YFWrp7izeAJg==" saltValue="z+WkgZK5sW7uILhtPVNAtA==" spinCount="100000" sheet="1" objects="1" scenarios="1" selectLockedCells="1"/>
  <mergeCells count="33">
    <mergeCell ref="B27:C27"/>
    <mergeCell ref="D27:E27"/>
    <mergeCell ref="D26:E26"/>
    <mergeCell ref="B26:C26"/>
    <mergeCell ref="B16:E16"/>
    <mergeCell ref="B17:E17"/>
    <mergeCell ref="B18:E18"/>
    <mergeCell ref="B19:E19"/>
    <mergeCell ref="B22:E22"/>
    <mergeCell ref="B20:E20"/>
    <mergeCell ref="B21:E21"/>
    <mergeCell ref="B30:C30"/>
    <mergeCell ref="B31:C31"/>
    <mergeCell ref="D35:E35"/>
    <mergeCell ref="D28:E28"/>
    <mergeCell ref="D29:E29"/>
    <mergeCell ref="D30:E30"/>
    <mergeCell ref="D4:E4"/>
    <mergeCell ref="D11:E11"/>
    <mergeCell ref="C39:E39"/>
    <mergeCell ref="D32:E32"/>
    <mergeCell ref="D33:E33"/>
    <mergeCell ref="D34:E34"/>
    <mergeCell ref="D31:E31"/>
    <mergeCell ref="C38:E38"/>
    <mergeCell ref="B35:C35"/>
    <mergeCell ref="B36:C36"/>
    <mergeCell ref="B32:C32"/>
    <mergeCell ref="B33:C33"/>
    <mergeCell ref="B34:C34"/>
    <mergeCell ref="D36:E36"/>
    <mergeCell ref="B28:C28"/>
    <mergeCell ref="B29:C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A1:O76"/>
  <sheetViews>
    <sheetView topLeftCell="A7" zoomScale="80" zoomScaleNormal="80" workbookViewId="0">
      <selection activeCell="D14" sqref="D14"/>
    </sheetView>
  </sheetViews>
  <sheetFormatPr defaultRowHeight="15" x14ac:dyDescent="0.25"/>
  <cols>
    <col min="1" max="1" width="2.42578125" customWidth="1"/>
    <col min="2" max="2" width="35.7109375" bestFit="1" customWidth="1"/>
    <col min="3" max="3" width="20.7109375" customWidth="1"/>
    <col min="4" max="4" width="57.140625" bestFit="1" customWidth="1"/>
    <col min="5" max="5" width="24.5703125" bestFit="1" customWidth="1"/>
    <col min="6" max="7" width="20.7109375" customWidth="1"/>
    <col min="8" max="8" width="26.42578125" customWidth="1"/>
    <col min="9" max="9" width="37.85546875" customWidth="1"/>
    <col min="11" max="11" width="40.5703125" bestFit="1" customWidth="1"/>
    <col min="12" max="12" width="15.5703125" customWidth="1"/>
    <col min="13" max="13" width="30.5703125" customWidth="1"/>
    <col min="14" max="14" width="20.85546875" customWidth="1"/>
    <col min="15" max="15" width="18.5703125" customWidth="1"/>
  </cols>
  <sheetData>
    <row r="1" spans="1:9" ht="15.75" x14ac:dyDescent="0.25">
      <c r="A1" s="7" t="s">
        <v>25</v>
      </c>
      <c r="C1" s="479" t="s">
        <v>487</v>
      </c>
      <c r="D1" s="977" t="s">
        <v>910</v>
      </c>
      <c r="E1" s="977"/>
      <c r="F1" s="977"/>
      <c r="G1" s="977"/>
      <c r="H1" s="977"/>
      <c r="I1" s="978"/>
    </row>
    <row r="2" spans="1:9" ht="15.75" x14ac:dyDescent="0.25">
      <c r="A2" s="7"/>
      <c r="C2" s="479" t="s">
        <v>488</v>
      </c>
      <c r="D2" s="979" t="s">
        <v>911</v>
      </c>
      <c r="E2" s="979"/>
      <c r="F2" s="979"/>
      <c r="G2" s="979"/>
      <c r="H2" s="979"/>
      <c r="I2" s="980"/>
    </row>
    <row r="3" spans="1:9" ht="15.75" x14ac:dyDescent="0.25">
      <c r="A3" s="7"/>
      <c r="C3" s="479" t="s">
        <v>618</v>
      </c>
      <c r="D3" s="979" t="s">
        <v>912</v>
      </c>
      <c r="E3" s="979"/>
      <c r="F3" s="979"/>
      <c r="G3" s="979"/>
      <c r="H3" s="979"/>
      <c r="I3" s="980"/>
    </row>
    <row r="5" spans="1:9" s="20" customFormat="1" ht="15.75" x14ac:dyDescent="0.25">
      <c r="A5" s="20" t="s">
        <v>72</v>
      </c>
    </row>
    <row r="6" spans="1:9" ht="15.75" thickBot="1" x14ac:dyDescent="0.3"/>
    <row r="7" spans="1:9" ht="30.75" customHeight="1" thickBot="1" x14ac:dyDescent="0.3">
      <c r="B7" s="47" t="s">
        <v>20</v>
      </c>
      <c r="C7" s="48" t="s">
        <v>21</v>
      </c>
      <c r="D7" s="48" t="s">
        <v>22</v>
      </c>
      <c r="E7" s="154" t="s">
        <v>557</v>
      </c>
      <c r="G7" s="47" t="s">
        <v>383</v>
      </c>
      <c r="H7" s="113" t="s">
        <v>457</v>
      </c>
      <c r="I7" s="49" t="s">
        <v>302</v>
      </c>
    </row>
    <row r="8" spans="1:9" x14ac:dyDescent="0.25">
      <c r="B8" s="38" t="s">
        <v>23</v>
      </c>
      <c r="C8" s="297" t="s">
        <v>913</v>
      </c>
      <c r="D8" s="297"/>
      <c r="E8" s="298"/>
      <c r="F8" s="246" t="s">
        <v>87</v>
      </c>
      <c r="G8" s="517">
        <f>55</f>
        <v>55</v>
      </c>
      <c r="H8" s="293"/>
      <c r="I8" s="298"/>
    </row>
    <row r="9" spans="1:9" x14ac:dyDescent="0.25">
      <c r="B9" s="29" t="s">
        <v>94</v>
      </c>
      <c r="C9" s="299" t="s">
        <v>914</v>
      </c>
      <c r="D9" s="299"/>
      <c r="E9" s="300"/>
      <c r="F9" s="247" t="s">
        <v>88</v>
      </c>
      <c r="G9" s="518">
        <f>12*7</f>
        <v>84</v>
      </c>
      <c r="H9" s="294">
        <v>0</v>
      </c>
      <c r="I9" s="300"/>
    </row>
    <row r="10" spans="1:9" ht="15" customHeight="1" x14ac:dyDescent="0.25">
      <c r="B10" s="29" t="s">
        <v>95</v>
      </c>
      <c r="C10" s="299"/>
      <c r="D10" s="299"/>
      <c r="E10" s="300"/>
      <c r="F10" s="247" t="s">
        <v>89</v>
      </c>
      <c r="G10" s="518">
        <f>24*7</f>
        <v>168</v>
      </c>
      <c r="H10" s="294">
        <v>0</v>
      </c>
      <c r="I10" s="300"/>
    </row>
    <row r="11" spans="1:9" x14ac:dyDescent="0.25">
      <c r="B11" s="29" t="s">
        <v>24</v>
      </c>
      <c r="C11" s="299">
        <v>123456</v>
      </c>
      <c r="D11" s="299"/>
      <c r="E11" s="300"/>
      <c r="F11" s="247" t="s">
        <v>398</v>
      </c>
      <c r="G11" s="227">
        <v>60</v>
      </c>
      <c r="H11" s="294">
        <v>0</v>
      </c>
      <c r="I11" s="570"/>
    </row>
    <row r="12" spans="1:9" ht="14.45" customHeight="1" x14ac:dyDescent="0.25">
      <c r="B12" s="27" t="s">
        <v>96</v>
      </c>
      <c r="C12" s="299" t="s">
        <v>670</v>
      </c>
      <c r="D12" s="299"/>
      <c r="E12" s="300"/>
      <c r="F12" s="247" t="s">
        <v>399</v>
      </c>
      <c r="G12" s="240">
        <v>168</v>
      </c>
      <c r="H12" s="295">
        <v>0</v>
      </c>
      <c r="I12" s="570"/>
    </row>
    <row r="13" spans="1:9" ht="30" x14ac:dyDescent="0.25">
      <c r="B13" s="178" t="s">
        <v>556</v>
      </c>
      <c r="C13" s="305" t="s">
        <v>87</v>
      </c>
      <c r="D13" s="301"/>
      <c r="E13" s="302"/>
      <c r="F13" s="247" t="s">
        <v>90</v>
      </c>
      <c r="G13" s="296"/>
      <c r="H13" s="295"/>
      <c r="I13" s="570"/>
    </row>
    <row r="14" spans="1:9" ht="90.75" thickBot="1" x14ac:dyDescent="0.3">
      <c r="B14" s="177" t="s">
        <v>43</v>
      </c>
      <c r="C14" s="519">
        <f>VLOOKUP(C13,F8:H14,2,FALSE)</f>
        <v>55</v>
      </c>
      <c r="D14" s="303"/>
      <c r="E14" s="304"/>
      <c r="F14" s="248" t="s">
        <v>555</v>
      </c>
      <c r="G14" s="737" t="str">
        <f>IF(SUM(H8:H13)=0,"0",((G8*H8)+(G9*H9)+(G10*H10)+(G11*H11)+(G12*H12)+(G13*H13))/SUM(H8:H13))</f>
        <v>0</v>
      </c>
      <c r="H14" s="738">
        <f>SUM(H8:H13)</f>
        <v>0</v>
      </c>
      <c r="I14" s="212" t="s">
        <v>558</v>
      </c>
    </row>
    <row r="15" spans="1:9" ht="14.45" customHeight="1" x14ac:dyDescent="0.25">
      <c r="B15" s="178" t="s">
        <v>459</v>
      </c>
      <c r="C15" s="520">
        <f>H14</f>
        <v>0</v>
      </c>
      <c r="D15" s="303"/>
      <c r="E15" s="302"/>
    </row>
    <row r="16" spans="1:9" x14ac:dyDescent="0.25">
      <c r="B16" s="178" t="s">
        <v>293</v>
      </c>
      <c r="C16" s="305"/>
      <c r="D16" s="305"/>
      <c r="E16" s="302"/>
    </row>
    <row r="17" spans="1:11" x14ac:dyDescent="0.25">
      <c r="B17" s="178" t="s">
        <v>294</v>
      </c>
      <c r="C17" s="928"/>
      <c r="D17" s="305" t="s">
        <v>916</v>
      </c>
      <c r="E17" s="302"/>
    </row>
    <row r="18" spans="1:11" ht="15.75" thickBot="1" x14ac:dyDescent="0.3">
      <c r="B18" s="28" t="s">
        <v>417</v>
      </c>
      <c r="C18" s="306"/>
      <c r="D18" s="306"/>
      <c r="E18" s="307" t="s">
        <v>917</v>
      </c>
    </row>
    <row r="20" spans="1:11" s="20" customFormat="1" ht="15.75" x14ac:dyDescent="0.25">
      <c r="A20" s="20" t="s">
        <v>47</v>
      </c>
    </row>
    <row r="21" spans="1:11" ht="15.75" thickBot="1" x14ac:dyDescent="0.3"/>
    <row r="22" spans="1:11" ht="48" thickBot="1" x14ac:dyDescent="0.3">
      <c r="B22" s="47" t="s">
        <v>46</v>
      </c>
      <c r="C22" s="49" t="s">
        <v>565</v>
      </c>
      <c r="D22" s="49" t="s">
        <v>563</v>
      </c>
      <c r="E22" s="154" t="s">
        <v>566</v>
      </c>
      <c r="F22" s="154" t="s">
        <v>564</v>
      </c>
    </row>
    <row r="23" spans="1:11" x14ac:dyDescent="0.25">
      <c r="B23" s="34" t="s">
        <v>48</v>
      </c>
      <c r="C23" s="297"/>
      <c r="D23" s="298" t="s">
        <v>480</v>
      </c>
      <c r="E23" s="617"/>
      <c r="F23" s="655" t="str">
        <f t="shared" ref="F23:F31" si="0">IF(C23=0,"",E23/C23%)</f>
        <v/>
      </c>
      <c r="K23" s="628"/>
    </row>
    <row r="24" spans="1:11" x14ac:dyDescent="0.25">
      <c r="B24" s="35" t="s">
        <v>49</v>
      </c>
      <c r="C24" s="299"/>
      <c r="D24" s="300" t="s">
        <v>480</v>
      </c>
      <c r="E24" s="618"/>
      <c r="F24" s="656" t="str">
        <f t="shared" si="0"/>
        <v/>
      </c>
    </row>
    <row r="25" spans="1:11" x14ac:dyDescent="0.25">
      <c r="B25" s="35" t="s">
        <v>11</v>
      </c>
      <c r="C25" s="299"/>
      <c r="D25" s="300" t="s">
        <v>480</v>
      </c>
      <c r="E25" s="618"/>
      <c r="F25" s="656" t="str">
        <f t="shared" si="0"/>
        <v/>
      </c>
    </row>
    <row r="26" spans="1:11" x14ac:dyDescent="0.25">
      <c r="B26" s="35" t="s">
        <v>384</v>
      </c>
      <c r="C26" s="299"/>
      <c r="D26" s="300" t="s">
        <v>480</v>
      </c>
      <c r="E26" s="618"/>
      <c r="F26" s="656" t="str">
        <f>IF(C26=0,"",E26/C26%)</f>
        <v/>
      </c>
    </row>
    <row r="27" spans="1:11" x14ac:dyDescent="0.25">
      <c r="B27" s="35" t="s">
        <v>50</v>
      </c>
      <c r="C27" s="299"/>
      <c r="D27" s="300" t="s">
        <v>480</v>
      </c>
      <c r="E27" s="618"/>
      <c r="F27" s="656" t="str">
        <f t="shared" si="0"/>
        <v/>
      </c>
    </row>
    <row r="28" spans="1:11" x14ac:dyDescent="0.25">
      <c r="B28" s="35" t="s">
        <v>51</v>
      </c>
      <c r="C28" s="299"/>
      <c r="D28" s="300" t="s">
        <v>480</v>
      </c>
      <c r="E28" s="618"/>
      <c r="F28" s="656" t="str">
        <f t="shared" si="0"/>
        <v/>
      </c>
    </row>
    <row r="29" spans="1:11" x14ac:dyDescent="0.25">
      <c r="B29" s="35" t="s">
        <v>385</v>
      </c>
      <c r="C29" s="299"/>
      <c r="D29" s="300" t="s">
        <v>480</v>
      </c>
      <c r="E29" s="618"/>
      <c r="F29" s="656" t="str">
        <f t="shared" si="0"/>
        <v/>
      </c>
    </row>
    <row r="30" spans="1:11" x14ac:dyDescent="0.25">
      <c r="B30" s="35" t="s">
        <v>52</v>
      </c>
      <c r="C30" s="299"/>
      <c r="D30" s="300" t="s">
        <v>480</v>
      </c>
      <c r="E30" s="618"/>
      <c r="F30" s="656" t="str">
        <f t="shared" si="0"/>
        <v/>
      </c>
    </row>
    <row r="31" spans="1:11" ht="15.75" thickBot="1" x14ac:dyDescent="0.3">
      <c r="B31" s="36" t="s">
        <v>53</v>
      </c>
      <c r="C31" s="308"/>
      <c r="D31" s="310" t="s">
        <v>480</v>
      </c>
      <c r="E31" s="619"/>
      <c r="F31" s="657" t="str">
        <f t="shared" si="0"/>
        <v/>
      </c>
      <c r="G31" t="s">
        <v>562</v>
      </c>
    </row>
    <row r="33" spans="1:15" s="20" customFormat="1" ht="15.75" x14ac:dyDescent="0.25">
      <c r="A33" s="20" t="s">
        <v>296</v>
      </c>
    </row>
    <row r="34" spans="1:15" ht="15.75" thickBot="1" x14ac:dyDescent="0.3"/>
    <row r="35" spans="1:15" ht="45.75" thickBot="1" x14ac:dyDescent="0.3">
      <c r="B35" s="40" t="s">
        <v>54</v>
      </c>
      <c r="C35" s="45" t="s">
        <v>568</v>
      </c>
      <c r="D35" s="45" t="s">
        <v>63</v>
      </c>
      <c r="E35" s="41" t="s">
        <v>82</v>
      </c>
      <c r="G35" s="172" t="s">
        <v>284</v>
      </c>
      <c r="H35" s="173" t="s">
        <v>285</v>
      </c>
      <c r="I35" s="39"/>
      <c r="K35" s="169" t="s">
        <v>289</v>
      </c>
    </row>
    <row r="36" spans="1:15" x14ac:dyDescent="0.25">
      <c r="B36" s="572" t="s">
        <v>915</v>
      </c>
      <c r="C36" s="293" t="s">
        <v>290</v>
      </c>
      <c r="D36" s="309"/>
      <c r="E36" s="298"/>
      <c r="G36" s="174" t="s">
        <v>258</v>
      </c>
      <c r="H36" s="175">
        <v>72</v>
      </c>
      <c r="I36" s="170"/>
      <c r="K36" s="522">
        <f t="shared" ref="K36:K45" si="1">VLOOKUP(C36,CoolingLoad,2,FALSE)*E36*52*$C$14/3517</f>
        <v>0</v>
      </c>
    </row>
    <row r="37" spans="1:15" x14ac:dyDescent="0.25">
      <c r="B37" s="572"/>
      <c r="C37" s="294"/>
      <c r="D37" s="299"/>
      <c r="E37" s="300"/>
      <c r="G37" s="174" t="s">
        <v>259</v>
      </c>
      <c r="H37" s="175">
        <v>130</v>
      </c>
      <c r="I37" s="170"/>
      <c r="K37" s="522" t="e">
        <f t="shared" si="1"/>
        <v>#N/A</v>
      </c>
    </row>
    <row r="38" spans="1:15" x14ac:dyDescent="0.25">
      <c r="B38" s="572"/>
      <c r="C38" s="294"/>
      <c r="D38" s="299"/>
      <c r="E38" s="300"/>
      <c r="G38" s="174" t="s">
        <v>260</v>
      </c>
      <c r="H38" s="175">
        <v>57</v>
      </c>
      <c r="I38" s="170"/>
      <c r="K38" s="522" t="e">
        <f t="shared" si="1"/>
        <v>#N/A</v>
      </c>
    </row>
    <row r="39" spans="1:15" ht="15" customHeight="1" x14ac:dyDescent="0.25">
      <c r="B39" s="572"/>
      <c r="C39" s="294"/>
      <c r="D39" s="299"/>
      <c r="E39" s="300"/>
      <c r="G39" s="174" t="s">
        <v>279</v>
      </c>
      <c r="H39" s="300"/>
      <c r="I39" s="981" t="s">
        <v>497</v>
      </c>
      <c r="K39" s="522" t="e">
        <f t="shared" si="1"/>
        <v>#N/A</v>
      </c>
    </row>
    <row r="40" spans="1:15" x14ac:dyDescent="0.25">
      <c r="B40" s="572"/>
      <c r="C40" s="294"/>
      <c r="D40" s="299"/>
      <c r="E40" s="300"/>
      <c r="G40" s="174" t="s">
        <v>286</v>
      </c>
      <c r="H40" s="300"/>
      <c r="I40" s="981"/>
      <c r="K40" s="522" t="e">
        <f t="shared" si="1"/>
        <v>#N/A</v>
      </c>
    </row>
    <row r="41" spans="1:15" x14ac:dyDescent="0.25">
      <c r="B41" s="572"/>
      <c r="C41" s="294"/>
      <c r="D41" s="299"/>
      <c r="E41" s="300"/>
      <c r="G41" s="174" t="s">
        <v>287</v>
      </c>
      <c r="H41" s="300" t="s">
        <v>486</v>
      </c>
      <c r="I41" s="981"/>
      <c r="K41" s="522" t="e">
        <f t="shared" si="1"/>
        <v>#N/A</v>
      </c>
    </row>
    <row r="42" spans="1:15" x14ac:dyDescent="0.25">
      <c r="B42" s="572"/>
      <c r="C42" s="294"/>
      <c r="D42" s="299"/>
      <c r="E42" s="300"/>
      <c r="G42" s="174" t="s">
        <v>288</v>
      </c>
      <c r="H42" s="300"/>
      <c r="I42" s="981"/>
      <c r="K42" s="522" t="e">
        <f t="shared" si="1"/>
        <v>#N/A</v>
      </c>
    </row>
    <row r="43" spans="1:15" x14ac:dyDescent="0.25">
      <c r="B43" s="572"/>
      <c r="C43" s="294"/>
      <c r="D43" s="299"/>
      <c r="E43" s="300"/>
      <c r="G43" s="658" t="s">
        <v>671</v>
      </c>
      <c r="H43" s="300"/>
      <c r="I43" s="981"/>
      <c r="K43" s="522" t="e">
        <f t="shared" si="1"/>
        <v>#N/A</v>
      </c>
    </row>
    <row r="44" spans="1:15" x14ac:dyDescent="0.25">
      <c r="B44" s="572"/>
      <c r="C44" s="294"/>
      <c r="D44" s="299"/>
      <c r="E44" s="300"/>
      <c r="G44" s="658" t="s">
        <v>672</v>
      </c>
      <c r="H44" s="300"/>
      <c r="I44" s="981"/>
      <c r="K44" s="522" t="e">
        <f t="shared" si="1"/>
        <v>#N/A</v>
      </c>
    </row>
    <row r="45" spans="1:15" ht="15.75" thickBot="1" x14ac:dyDescent="0.3">
      <c r="B45" s="573"/>
      <c r="C45" s="402"/>
      <c r="D45" s="308"/>
      <c r="E45" s="310"/>
      <c r="G45" s="658" t="s">
        <v>735</v>
      </c>
      <c r="H45" s="300"/>
      <c r="I45" s="981"/>
      <c r="K45" s="522" t="e">
        <f t="shared" si="1"/>
        <v>#N/A</v>
      </c>
      <c r="O45" s="170"/>
    </row>
    <row r="46" spans="1:15" x14ac:dyDescent="0.25">
      <c r="B46" s="182"/>
      <c r="C46" s="574"/>
      <c r="D46" s="46" t="s">
        <v>79</v>
      </c>
      <c r="E46" s="5"/>
      <c r="G46" s="658" t="s">
        <v>290</v>
      </c>
      <c r="H46" s="175">
        <v>0</v>
      </c>
      <c r="I46" s="181"/>
      <c r="M46" s="170"/>
      <c r="N46" s="171"/>
      <c r="O46" s="170"/>
    </row>
    <row r="47" spans="1:15" s="20" customFormat="1" ht="15.75" x14ac:dyDescent="0.25">
      <c r="A47" s="20" t="s">
        <v>297</v>
      </c>
    </row>
    <row r="48" spans="1:15" s="63" customFormat="1" ht="16.5" thickBot="1" x14ac:dyDescent="0.3"/>
    <row r="49" spans="1:15" s="63" customFormat="1" ht="30.75" thickBot="1" x14ac:dyDescent="0.3">
      <c r="B49" s="575" t="s">
        <v>569</v>
      </c>
      <c r="C49" s="45" t="s">
        <v>275</v>
      </c>
      <c r="D49" s="45" t="s">
        <v>63</v>
      </c>
      <c r="E49" s="41" t="s">
        <v>82</v>
      </c>
    </row>
    <row r="50" spans="1:15" s="63" customFormat="1" ht="15.75" x14ac:dyDescent="0.25">
      <c r="B50" s="403" t="s">
        <v>290</v>
      </c>
      <c r="C50" s="404" t="s">
        <v>298</v>
      </c>
      <c r="D50" s="404" t="s">
        <v>790</v>
      </c>
      <c r="E50" s="739"/>
    </row>
    <row r="51" spans="1:15" s="63" customFormat="1" ht="15.75" x14ac:dyDescent="0.25">
      <c r="B51" s="405" t="s">
        <v>290</v>
      </c>
      <c r="C51" s="299" t="s">
        <v>298</v>
      </c>
      <c r="D51" s="299"/>
      <c r="E51" s="300"/>
    </row>
    <row r="52" spans="1:15" s="63" customFormat="1" ht="15.75" x14ac:dyDescent="0.25">
      <c r="B52" s="405" t="s">
        <v>290</v>
      </c>
      <c r="C52" s="299" t="s">
        <v>298</v>
      </c>
      <c r="D52" s="299"/>
      <c r="E52" s="300"/>
    </row>
    <row r="53" spans="1:15" s="63" customFormat="1" ht="15.75" x14ac:dyDescent="0.25">
      <c r="B53" s="405" t="s">
        <v>290</v>
      </c>
      <c r="C53" s="299" t="s">
        <v>298</v>
      </c>
      <c r="D53" s="299"/>
      <c r="E53" s="300"/>
    </row>
    <row r="54" spans="1:15" s="63" customFormat="1" ht="15.75" x14ac:dyDescent="0.25">
      <c r="B54" s="405" t="s">
        <v>290</v>
      </c>
      <c r="C54" s="299" t="s">
        <v>298</v>
      </c>
      <c r="D54" s="299"/>
      <c r="E54" s="300"/>
    </row>
    <row r="55" spans="1:15" s="63" customFormat="1" ht="15.75" x14ac:dyDescent="0.25">
      <c r="B55" s="405" t="s">
        <v>290</v>
      </c>
      <c r="C55" s="299" t="s">
        <v>298</v>
      </c>
      <c r="D55" s="299"/>
      <c r="E55" s="300"/>
    </row>
    <row r="56" spans="1:15" s="63" customFormat="1" ht="15.75" x14ac:dyDescent="0.25">
      <c r="B56" s="405" t="s">
        <v>290</v>
      </c>
      <c r="C56" s="299" t="s">
        <v>298</v>
      </c>
      <c r="D56" s="299"/>
      <c r="E56" s="300"/>
    </row>
    <row r="57" spans="1:15" s="63" customFormat="1" ht="15.75" x14ac:dyDescent="0.25">
      <c r="B57" s="405" t="s">
        <v>290</v>
      </c>
      <c r="C57" s="299" t="s">
        <v>298</v>
      </c>
      <c r="D57" s="299"/>
      <c r="E57" s="300"/>
    </row>
    <row r="58" spans="1:15" s="63" customFormat="1" ht="15.75" x14ac:dyDescent="0.25">
      <c r="B58" s="405" t="s">
        <v>290</v>
      </c>
      <c r="C58" s="299" t="s">
        <v>298</v>
      </c>
      <c r="D58" s="299"/>
      <c r="E58" s="300"/>
      <c r="G58" s="255" t="s">
        <v>455</v>
      </c>
      <c r="H58" s="521">
        <f>SUM(C23:C29,C31,E36:E45,E50:E59)</f>
        <v>0</v>
      </c>
      <c r="I58" s="256" t="s">
        <v>458</v>
      </c>
    </row>
    <row r="59" spans="1:15" s="63" customFormat="1" ht="16.5" thickBot="1" x14ac:dyDescent="0.3">
      <c r="B59" s="406" t="s">
        <v>290</v>
      </c>
      <c r="C59" s="308" t="s">
        <v>298</v>
      </c>
      <c r="D59" s="308"/>
      <c r="E59" s="310"/>
      <c r="G59" t="s">
        <v>456</v>
      </c>
      <c r="H59" s="567" t="str">
        <f>IF(OR(H58&lt;(0.95*H14),H58&gt;(1.05*H14)),"Exceeds 5% tolerance from Total GFA, please check all areas input!","Okay, please proceed.")</f>
        <v>Okay, please proceed.</v>
      </c>
      <c r="I59" s="567"/>
    </row>
    <row r="60" spans="1:15" s="63" customFormat="1" ht="15.75" x14ac:dyDescent="0.25">
      <c r="D60" s="46" t="s">
        <v>79</v>
      </c>
    </row>
    <row r="61" spans="1:15" x14ac:dyDescent="0.25">
      <c r="M61" s="170"/>
      <c r="N61" s="171"/>
      <c r="O61" s="170"/>
    </row>
    <row r="62" spans="1:15" s="20" customFormat="1" ht="15.75" x14ac:dyDescent="0.25">
      <c r="A62" s="20" t="s">
        <v>295</v>
      </c>
    </row>
    <row r="63" spans="1:15" ht="15.75" thickBot="1" x14ac:dyDescent="0.3"/>
    <row r="64" spans="1:15" ht="45.75" thickBot="1" x14ac:dyDescent="0.3">
      <c r="B64" s="180" t="s">
        <v>416</v>
      </c>
      <c r="C64" s="523" t="str">
        <f>IF('Building Data schedule'!C15=0,"please input building's GFA in cell H6 to H11",('Building Energy 2.1e'!D18+'Receptacle Load 2.1d'!G33)/'Building Data schedule'!C15)</f>
        <v>please input building's GFA in cell H6 to H11</v>
      </c>
      <c r="D64" s="256" t="s">
        <v>483</v>
      </c>
      <c r="E64" s="179"/>
    </row>
    <row r="65" spans="1:5" ht="15.75" thickBot="1" x14ac:dyDescent="0.3">
      <c r="B65" s="180" t="s">
        <v>418</v>
      </c>
      <c r="C65" s="523" t="str">
        <f>IF('Building Data schedule'!C30=0,"Carpark area is zero.",'Car Park 2.1c'!D138/'Building Data schedule'!C30)</f>
        <v>Carpark area is zero.</v>
      </c>
      <c r="D65" s="256" t="s">
        <v>483</v>
      </c>
      <c r="E65" s="61"/>
    </row>
    <row r="67" spans="1:5" x14ac:dyDescent="0.25">
      <c r="D67" s="628"/>
    </row>
    <row r="68" spans="1:5" s="20" customFormat="1" ht="15.75" x14ac:dyDescent="0.25">
      <c r="A68" s="20" t="s">
        <v>467</v>
      </c>
    </row>
    <row r="69" spans="1:5" s="63" customFormat="1" ht="16.5" thickBot="1" x14ac:dyDescent="0.3"/>
    <row r="70" spans="1:5" ht="15.75" thickBot="1" x14ac:dyDescent="0.3">
      <c r="B70" s="982" t="s">
        <v>479</v>
      </c>
      <c r="C70" s="983"/>
      <c r="D70" s="924" t="s">
        <v>432</v>
      </c>
    </row>
    <row r="71" spans="1:5" x14ac:dyDescent="0.25">
      <c r="B71" s="973" t="s">
        <v>890</v>
      </c>
      <c r="C71" s="974"/>
      <c r="D71" s="925">
        <f>' ACMV 2.1a'!D17</f>
        <v>0</v>
      </c>
    </row>
    <row r="72" spans="1:5" x14ac:dyDescent="0.25">
      <c r="B72" s="975" t="s">
        <v>891</v>
      </c>
      <c r="C72" s="976"/>
      <c r="D72" s="926">
        <f>'Lighting Power Budget 2.1b'!F89</f>
        <v>0</v>
      </c>
    </row>
    <row r="73" spans="1:5" x14ac:dyDescent="0.25">
      <c r="B73" s="975" t="s">
        <v>892</v>
      </c>
      <c r="C73" s="976"/>
      <c r="D73" s="926">
        <f>'Car Park 2.1c'!D142</f>
        <v>2</v>
      </c>
    </row>
    <row r="74" spans="1:5" x14ac:dyDescent="0.25">
      <c r="B74" s="975" t="s">
        <v>893</v>
      </c>
      <c r="C74" s="976"/>
      <c r="D74" s="926">
        <f>'Receptacle Load 2.1d'!E85</f>
        <v>0</v>
      </c>
    </row>
    <row r="75" spans="1:5" x14ac:dyDescent="0.25">
      <c r="B75" s="975" t="s">
        <v>894</v>
      </c>
      <c r="C75" s="976"/>
      <c r="D75" s="926" t="e">
        <f>'Building Energy 2.1e'!D22</f>
        <v>#N/A</v>
      </c>
    </row>
    <row r="76" spans="1:5" ht="15.75" thickBot="1" x14ac:dyDescent="0.3">
      <c r="B76" s="971" t="s">
        <v>895</v>
      </c>
      <c r="C76" s="972"/>
      <c r="D76" s="927">
        <f>'Renewable Energy 2.2c'!C13</f>
        <v>0</v>
      </c>
    </row>
  </sheetData>
  <sheetProtection algorithmName="SHA-512" hashValue="02FF75RiMdpz5ACenj8oCIRrmYLIdBHrMQePKqInWmT+T5Toinoj8LB7Y/RCUH2U4uF9/+sQ+cSq75IN2Udvhg==" saltValue="cmmclXY/MXcZxXfnL97dqA==" spinCount="100000" sheet="1" objects="1" scenarios="1" selectLockedCells="1"/>
  <mergeCells count="11">
    <mergeCell ref="D1:I1"/>
    <mergeCell ref="D2:I2"/>
    <mergeCell ref="D3:I3"/>
    <mergeCell ref="I39:I45"/>
    <mergeCell ref="B70:C70"/>
    <mergeCell ref="B76:C76"/>
    <mergeCell ref="B71:C71"/>
    <mergeCell ref="B72:C72"/>
    <mergeCell ref="B73:C73"/>
    <mergeCell ref="B74:C74"/>
    <mergeCell ref="B75:C75"/>
  </mergeCells>
  <dataValidations count="6">
    <dataValidation type="list" allowBlank="1" showInputMessage="1" showErrorMessage="1" promptTitle="[Select from drop-down list]" sqref="D23:D31">
      <formula1>"[Select from drop-down list], NV, MV, AC"</formula1>
    </dataValidation>
    <dataValidation type="list" allowBlank="1" showInputMessage="1" showErrorMessage="1" sqref="C50:C59">
      <formula1>"[Please Select], NV, MV"</formula1>
    </dataValidation>
    <dataValidation type="list" allowBlank="1" showInputMessage="1" showErrorMessage="1" sqref="C13">
      <formula1>"Office Buildings, Retail Malls, Hotels, Schools &amp; Institutions, Industrial Buildings, Other Building Types, Mixed Use"</formula1>
    </dataValidation>
    <dataValidation type="list" allowBlank="1" showInputMessage="1" showErrorMessage="1" sqref="C46">
      <formula1>$G$36:$G$44</formula1>
    </dataValidation>
    <dataValidation type="list" allowBlank="1" showInputMessage="1" showErrorMessage="1" sqref="D3:I3">
      <formula1>"[Select from list],Gold, Goldplus, Platinum"</formula1>
    </dataValidation>
    <dataValidation type="list" allowBlank="1" showInputMessage="1" showErrorMessage="1" sqref="C36:C45 B50:B59">
      <formula1>$G$36:$G$46</formula1>
    </dataValidation>
  </dataValidations>
  <pageMargins left="0.7" right="0.7" top="0.75" bottom="0.75" header="0.3" footer="0.3"/>
  <pageSetup paperSize="8" scale="67" orientation="landscape" r:id="rId1"/>
  <rowBreaks count="1" manualBreakCount="1">
    <brk id="61" max="11"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sheetPr>
  <dimension ref="A1:Q170"/>
  <sheetViews>
    <sheetView topLeftCell="A28" zoomScale="85" zoomScaleNormal="85" zoomScaleSheetLayoutView="100" workbookViewId="0">
      <selection activeCell="G48" sqref="G48"/>
    </sheetView>
  </sheetViews>
  <sheetFormatPr defaultRowHeight="15" x14ac:dyDescent="0.25"/>
  <cols>
    <col min="1" max="1" width="3.140625" style="628" customWidth="1"/>
    <col min="2" max="2" width="15.7109375" style="628" customWidth="1"/>
    <col min="3" max="3" width="19" style="628" customWidth="1"/>
    <col min="4" max="4" width="15.7109375" style="628" customWidth="1"/>
    <col min="5" max="5" width="17.140625" style="628" customWidth="1"/>
    <col min="6" max="6" width="16.42578125" style="628" customWidth="1"/>
    <col min="7" max="9" width="15.7109375" style="628" customWidth="1"/>
    <col min="10" max="10" width="16.5703125" style="628" customWidth="1"/>
    <col min="11" max="11" width="15.7109375" style="628" customWidth="1"/>
    <col min="12" max="12" width="20.7109375" style="628" customWidth="1"/>
    <col min="13" max="13" width="14.7109375" style="628" customWidth="1"/>
    <col min="14" max="14" width="16.140625" style="628" customWidth="1"/>
    <col min="15" max="15" width="15.7109375" style="628" customWidth="1"/>
    <col min="16" max="16" width="16.28515625" style="628" customWidth="1"/>
    <col min="17" max="17" width="14.85546875" style="628" customWidth="1"/>
    <col min="18" max="16384" width="9.140625" style="628"/>
  </cols>
  <sheetData>
    <row r="1" spans="1:17" ht="15.75" x14ac:dyDescent="0.25">
      <c r="A1" s="7" t="s">
        <v>896</v>
      </c>
    </row>
    <row r="2" spans="1:17" ht="15" customHeight="1" thickBot="1" x14ac:dyDescent="0.3">
      <c r="I2" s="740" t="s">
        <v>764</v>
      </c>
      <c r="J2" s="740" t="s">
        <v>897</v>
      </c>
    </row>
    <row r="3" spans="1:17" ht="186.75" customHeight="1" thickBot="1" x14ac:dyDescent="0.3">
      <c r="B3" s="1017" t="s">
        <v>583</v>
      </c>
      <c r="C3" s="1019"/>
      <c r="D3" s="1020"/>
      <c r="E3" s="741" t="s">
        <v>788</v>
      </c>
      <c r="F3" s="1021" t="str">
        <f>IF(E3="yes path A",I2,IF(E3="yes path B",J2,"Cell inputs G7 to G8 not required"))</f>
        <v>Cell inputs G7 to G8 not required</v>
      </c>
      <c r="G3" s="1022"/>
      <c r="H3" s="1023"/>
      <c r="I3" s="1025" t="str">
        <f>IF(E3="No","","Refer to NRB: 2015 2.1a for definition of DCS path A or path B.")</f>
        <v/>
      </c>
      <c r="J3" s="1026"/>
      <c r="K3" s="1026"/>
    </row>
    <row r="4" spans="1:17" ht="15" customHeight="1" thickBot="1" x14ac:dyDescent="0.3">
      <c r="L4" s="1040" t="s">
        <v>586</v>
      </c>
      <c r="M4" s="1040"/>
      <c r="N4" s="1040"/>
    </row>
    <row r="5" spans="1:17" ht="15" customHeight="1" x14ac:dyDescent="0.25">
      <c r="B5" s="1024" t="str">
        <f>IF(OR(E3="yes path A",E3="yes path B"),"Please key in info for DCS below. (To be obtained form the DCS provider)", " ")</f>
        <v xml:space="preserve"> </v>
      </c>
      <c r="C5" s="1024"/>
      <c r="D5" s="1024"/>
      <c r="E5" s="1024"/>
      <c r="F5" s="1024"/>
      <c r="L5" s="69" t="s">
        <v>87</v>
      </c>
      <c r="M5" s="1038" t="s">
        <v>469</v>
      </c>
      <c r="N5" s="1039"/>
    </row>
    <row r="6" spans="1:17" ht="32.25" customHeight="1" x14ac:dyDescent="0.25">
      <c r="B6" s="989" t="str">
        <f>IF(OR(E3="yes path A",E3="yes path B"),"Average Daily cooling load demand from DCS","")</f>
        <v/>
      </c>
      <c r="C6" s="989"/>
      <c r="D6" s="989"/>
      <c r="E6" s="989"/>
      <c r="F6" s="989"/>
      <c r="G6" s="525" t="str">
        <f>IF(E3="no","",C66)</f>
        <v/>
      </c>
      <c r="H6" s="525" t="str">
        <f>IF(OR(E3="yes path A",E3="yes path B"),"RTh/day","")</f>
        <v/>
      </c>
      <c r="L6" s="70" t="s">
        <v>88</v>
      </c>
      <c r="M6" s="1036" t="s">
        <v>470</v>
      </c>
      <c r="N6" s="1037"/>
    </row>
    <row r="7" spans="1:17" ht="38.25" customHeight="1" x14ac:dyDescent="0.25">
      <c r="B7" s="1031" t="str">
        <f>IF(OR(E3="yes path A",E3="yes path B"),"Average Total power input from DCS (including secondary/distribution pumps, input only if available)","")</f>
        <v/>
      </c>
      <c r="C7" s="1031"/>
      <c r="D7" s="1031"/>
      <c r="E7" s="1031"/>
      <c r="F7" s="1031"/>
      <c r="G7" s="831"/>
      <c r="H7" s="525" t="str">
        <f>IF(OR($E$3="yes path A",$E$3="yes path B"),"KWh/day","")</f>
        <v/>
      </c>
      <c r="I7" s="525" t="str">
        <f>IF(AND(G7&gt;0,OR($E$3="yes path A",$E$3="yes path B")),"check:","")</f>
        <v/>
      </c>
      <c r="L7" s="70" t="s">
        <v>403</v>
      </c>
      <c r="M7" s="1036" t="s">
        <v>471</v>
      </c>
      <c r="N7" s="1037"/>
    </row>
    <row r="8" spans="1:17" ht="15.75" thickBot="1" x14ac:dyDescent="0.3">
      <c r="B8" s="989" t="str">
        <f>IF(OR(E3="yes path A",E3="yes path B"),"Average DCS efficiency (To obtain report from DCS plant)","")</f>
        <v/>
      </c>
      <c r="C8" s="989"/>
      <c r="D8" s="989"/>
      <c r="E8" s="989"/>
      <c r="F8" s="989"/>
      <c r="G8" s="831"/>
      <c r="H8" s="525" t="str">
        <f>IF(OR($E$3="yes path A",$E$3="yes path B"),"kW/RT","")</f>
        <v/>
      </c>
      <c r="I8" s="637" t="str">
        <f>IFERROR(IF(OR($E$3="yes path A",$E$3="yes path B"),G7/G6,""),"Enter in Cell G6")</f>
        <v/>
      </c>
      <c r="J8" s="525" t="str">
        <f>IF(OR($E$3="yes path A",$E$3="yes path B"),"kW/RT","")</f>
        <v/>
      </c>
      <c r="L8" s="71" t="s">
        <v>90</v>
      </c>
      <c r="M8" s="1034" t="s">
        <v>472</v>
      </c>
      <c r="N8" s="1035"/>
    </row>
    <row r="9" spans="1:17" x14ac:dyDescent="0.25">
      <c r="B9" s="988" t="str">
        <f>IF(OR(E3="yes path A",E3="yes path B"),"Please key in info for DCS below for building", " ")</f>
        <v xml:space="preserve"> </v>
      </c>
      <c r="C9" s="988"/>
      <c r="D9" s="988"/>
      <c r="E9" s="988"/>
      <c r="F9" s="988"/>
      <c r="I9" s="637"/>
      <c r="J9" s="525"/>
      <c r="L9" s="830"/>
      <c r="M9" s="230"/>
      <c r="N9" s="230"/>
    </row>
    <row r="10" spans="1:17" x14ac:dyDescent="0.25">
      <c r="B10" s="989" t="str">
        <f>IF(OR(E3="yes path A",E3="yes path B"),"Pump efficiency after DCS Heat Exchanger", " ")</f>
        <v xml:space="preserve"> </v>
      </c>
      <c r="C10" s="989"/>
      <c r="D10" s="989"/>
      <c r="E10" s="989"/>
      <c r="F10" s="989"/>
      <c r="G10" s="831"/>
      <c r="H10" s="628" t="str">
        <f>IF(OR(E3="yes path A",E3="yes path B"),"kW/RT", " ")</f>
        <v xml:space="preserve"> </v>
      </c>
      <c r="L10" s="830"/>
      <c r="M10" s="230"/>
      <c r="N10" s="230"/>
    </row>
    <row r="11" spans="1:17" ht="15.75" x14ac:dyDescent="0.25">
      <c r="A11" s="7"/>
    </row>
    <row r="12" spans="1:17" s="20" customFormat="1" ht="16.5" thickBot="1" x14ac:dyDescent="0.3">
      <c r="A12" s="20" t="s">
        <v>280</v>
      </c>
    </row>
    <row r="13" spans="1:17" ht="36" customHeight="1" thickBot="1" x14ac:dyDescent="0.3">
      <c r="A13" s="7"/>
      <c r="F13" s="767"/>
      <c r="G13" s="984" t="s">
        <v>784</v>
      </c>
      <c r="H13" s="985"/>
      <c r="I13" s="984" t="s">
        <v>785</v>
      </c>
      <c r="J13" s="985"/>
      <c r="L13" s="984" t="s">
        <v>720</v>
      </c>
      <c r="M13" s="985"/>
      <c r="N13" s="986" t="s">
        <v>839</v>
      </c>
      <c r="O13" s="987"/>
    </row>
    <row r="14" spans="1:17" ht="90.75" thickBot="1" x14ac:dyDescent="0.3">
      <c r="A14" s="7"/>
      <c r="B14" s="933" t="s">
        <v>909</v>
      </c>
      <c r="C14" s="934" t="s">
        <v>281</v>
      </c>
      <c r="D14" s="159" t="s">
        <v>820</v>
      </c>
      <c r="F14" s="604" t="s">
        <v>786</v>
      </c>
      <c r="G14" s="605" t="s">
        <v>673</v>
      </c>
      <c r="H14" s="606" t="s">
        <v>674</v>
      </c>
      <c r="I14" s="605" t="s">
        <v>673</v>
      </c>
      <c r="J14" s="606" t="s">
        <v>674</v>
      </c>
      <c r="K14" s="645" t="s">
        <v>302</v>
      </c>
      <c r="L14" s="605" t="s">
        <v>834</v>
      </c>
      <c r="M14" s="606" t="s">
        <v>835</v>
      </c>
      <c r="N14" s="604" t="s">
        <v>836</v>
      </c>
      <c r="O14" s="606" t="s">
        <v>837</v>
      </c>
      <c r="Q14" s="612" t="str">
        <f>IF(E3="No","DCS Plant (Pls check input for E3)",CONCATENATE("DCS Plant",CHAR(10),REPLACE(E3,1,4,"")))</f>
        <v>DCS Plant (Pls check input for E3)</v>
      </c>
    </row>
    <row r="15" spans="1:17" ht="75" x14ac:dyDescent="0.25">
      <c r="A15" s="7"/>
      <c r="B15" s="603">
        <f>MAX(C42:C65)</f>
        <v>0</v>
      </c>
      <c r="C15" s="602" t="s">
        <v>658</v>
      </c>
      <c r="D15" s="546">
        <f>IF(C15="DCS Plant",IF(E3="Yes Path A",L15,M15),IF(B15&lt;500,G15,H15))</f>
        <v>1.08</v>
      </c>
      <c r="F15" s="644" t="s">
        <v>675</v>
      </c>
      <c r="G15" s="754">
        <f>IF($B$15=0,1.08,(1.08+$G$20/$B$15))</f>
        <v>1.08</v>
      </c>
      <c r="H15" s="755">
        <f>IF($B$15=0,0.98,(0.98+$G$20/$B$15))</f>
        <v>0.98</v>
      </c>
      <c r="I15" s="754">
        <f>IF($B$15=0,1.08,(1.08+$G$20/$B$15))</f>
        <v>1.08</v>
      </c>
      <c r="J15" s="755">
        <f>IF($B$15=0,0.98,(0.98+$G$20/$B$15))</f>
        <v>0.98</v>
      </c>
      <c r="K15" s="659" t="s">
        <v>678</v>
      </c>
      <c r="L15" s="828">
        <f>0.8+N15+0.28</f>
        <v>1.1387</v>
      </c>
      <c r="M15" s="849">
        <f>0.28+N15</f>
        <v>0.3387</v>
      </c>
      <c r="N15" s="850">
        <v>5.8700000000000002E-2</v>
      </c>
      <c r="O15" s="849">
        <f>G10</f>
        <v>0</v>
      </c>
      <c r="Q15" s="612" t="s">
        <v>658</v>
      </c>
    </row>
    <row r="16" spans="1:17" ht="75" x14ac:dyDescent="0.25">
      <c r="A16" s="7"/>
      <c r="B16" s="1029" t="s">
        <v>468</v>
      </c>
      <c r="C16" s="1030"/>
      <c r="D16" s="766">
        <f>IF(B15=0,0,((D15-F36)/D15)*100)</f>
        <v>0</v>
      </c>
      <c r="F16" s="26" t="s">
        <v>676</v>
      </c>
      <c r="G16" s="4">
        <f>IF($B$15=0,0.95,(0.95+$G$20/$B$15))</f>
        <v>0.95</v>
      </c>
      <c r="H16" s="756">
        <f>IF($B$15=0,0.9,(0.9+$G$20/$B$15))</f>
        <v>0.9</v>
      </c>
      <c r="I16" s="4">
        <f>IF($B$15=0,1.1,(1.1+$G$20/$B$15))</f>
        <v>1.1000000000000001</v>
      </c>
      <c r="J16" s="756">
        <f>IF($B$15=0,0.9,(0.9+$G$20/$B$15))</f>
        <v>0.9</v>
      </c>
      <c r="K16" s="1027" t="s">
        <v>655</v>
      </c>
      <c r="L16" s="774"/>
      <c r="M16" s="756"/>
      <c r="N16" s="851"/>
      <c r="O16" s="756"/>
      <c r="Q16" s="612" t="s">
        <v>859</v>
      </c>
    </row>
    <row r="17" spans="1:17" ht="75.75" thickBot="1" x14ac:dyDescent="0.3">
      <c r="A17" s="7"/>
      <c r="B17" s="1032" t="s">
        <v>838</v>
      </c>
      <c r="C17" s="1033"/>
      <c r="D17" s="753">
        <f>IF(D16&gt;25,5,(D16/5))</f>
        <v>0</v>
      </c>
      <c r="E17" s="761" t="s">
        <v>767</v>
      </c>
      <c r="F17" s="23" t="s">
        <v>677</v>
      </c>
      <c r="G17" s="757">
        <f>IF($B$15=0,0.93,(0.93+$G$20/$B$15))</f>
        <v>0.93</v>
      </c>
      <c r="H17" s="758">
        <f>IF($B$15=0,0.9,0.9+$G$20/$B$15)</f>
        <v>0.9</v>
      </c>
      <c r="I17" s="757">
        <f>IF($B$15=0,1.03,(1.03+$G$20/$B$15))</f>
        <v>1.03</v>
      </c>
      <c r="J17" s="758">
        <f>IF($B$15=0,0.9,0.9+$G$20/$B$15)</f>
        <v>0.9</v>
      </c>
      <c r="K17" s="1028"/>
      <c r="L17" s="829"/>
      <c r="M17" s="758"/>
      <c r="N17" s="852"/>
      <c r="O17" s="758"/>
      <c r="Q17" s="612" t="s">
        <v>860</v>
      </c>
    </row>
    <row r="18" spans="1:17" ht="15.75" x14ac:dyDescent="0.25">
      <c r="A18" s="7"/>
      <c r="B18" s="620"/>
      <c r="C18" s="620"/>
      <c r="D18" s="620"/>
      <c r="Q18" s="612" t="s">
        <v>861</v>
      </c>
    </row>
    <row r="19" spans="1:17" ht="16.5" thickBot="1" x14ac:dyDescent="0.3">
      <c r="A19" s="7"/>
      <c r="B19" s="620"/>
      <c r="C19" s="620"/>
      <c r="D19" s="620"/>
      <c r="F19" s="5"/>
      <c r="G19" s="5"/>
      <c r="H19" s="621"/>
      <c r="Q19" s="612" t="s">
        <v>862</v>
      </c>
    </row>
    <row r="20" spans="1:17" ht="19.5" thickBot="1" x14ac:dyDescent="0.3">
      <c r="A20" s="7"/>
      <c r="B20" s="620"/>
      <c r="C20" s="620"/>
      <c r="D20" s="620"/>
      <c r="F20" s="623" t="s">
        <v>620</v>
      </c>
      <c r="G20" s="635"/>
      <c r="H20" s="622" t="s">
        <v>371</v>
      </c>
      <c r="Q20" s="612" t="s">
        <v>167</v>
      </c>
    </row>
    <row r="21" spans="1:17" ht="16.5" thickBot="1" x14ac:dyDescent="0.3">
      <c r="A21" s="7"/>
      <c r="B21" s="620"/>
      <c r="C21" s="620"/>
      <c r="D21" s="620"/>
      <c r="H21" s="621"/>
      <c r="J21" s="930"/>
      <c r="K21" s="930"/>
      <c r="L21" s="930"/>
      <c r="M21" s="930"/>
      <c r="N21" s="930"/>
      <c r="O21" s="930"/>
    </row>
    <row r="22" spans="1:17" ht="15.75" customHeight="1" thickBot="1" x14ac:dyDescent="0.3">
      <c r="A22" s="7"/>
      <c r="B22" s="600" t="s">
        <v>780</v>
      </c>
      <c r="C22" s="273"/>
      <c r="D22" s="273"/>
      <c r="E22" s="273"/>
      <c r="F22" s="273"/>
      <c r="G22" s="274"/>
      <c r="H22" s="621"/>
      <c r="J22" s="930"/>
      <c r="K22" s="930"/>
      <c r="L22" s="930"/>
      <c r="M22" s="930"/>
      <c r="N22" s="930"/>
      <c r="O22" s="930"/>
    </row>
    <row r="23" spans="1:17" ht="15.75" x14ac:dyDescent="0.25">
      <c r="A23" s="7"/>
      <c r="B23" s="997" t="s">
        <v>750</v>
      </c>
      <c r="C23" s="998"/>
      <c r="D23" s="998"/>
      <c r="E23" s="998"/>
      <c r="F23" s="998"/>
      <c r="G23" s="999"/>
      <c r="H23" s="621"/>
      <c r="J23" s="930"/>
      <c r="K23" s="930"/>
      <c r="L23" s="930"/>
      <c r="M23" s="930"/>
      <c r="N23" s="930"/>
      <c r="O23" s="930"/>
    </row>
    <row r="24" spans="1:17" ht="15.75" x14ac:dyDescent="0.25">
      <c r="A24" s="7"/>
      <c r="B24" s="1000"/>
      <c r="C24" s="1001"/>
      <c r="D24" s="1001"/>
      <c r="E24" s="1001"/>
      <c r="F24" s="1001"/>
      <c r="G24" s="1002"/>
      <c r="H24" s="621"/>
      <c r="J24" s="930"/>
      <c r="K24" s="930"/>
      <c r="L24" s="930"/>
      <c r="M24" s="930"/>
      <c r="N24" s="930"/>
      <c r="O24" s="930"/>
    </row>
    <row r="25" spans="1:17" ht="15.75" x14ac:dyDescent="0.25">
      <c r="A25" s="7"/>
      <c r="B25" s="1000"/>
      <c r="C25" s="1001"/>
      <c r="D25" s="1001"/>
      <c r="E25" s="1001"/>
      <c r="F25" s="1001"/>
      <c r="G25" s="1002"/>
      <c r="H25" s="621"/>
      <c r="J25" s="930"/>
      <c r="K25" s="930"/>
      <c r="L25" s="930"/>
      <c r="M25" s="930"/>
      <c r="N25" s="930"/>
      <c r="O25" s="930"/>
    </row>
    <row r="26" spans="1:17" ht="15.75" x14ac:dyDescent="0.25">
      <c r="A26" s="7"/>
      <c r="B26" s="1000"/>
      <c r="C26" s="1001"/>
      <c r="D26" s="1001"/>
      <c r="E26" s="1001"/>
      <c r="F26" s="1001"/>
      <c r="G26" s="1002"/>
      <c r="H26" s="621"/>
      <c r="J26" s="930"/>
      <c r="K26" s="930"/>
      <c r="L26" s="930"/>
      <c r="M26" s="930"/>
      <c r="N26" s="930"/>
      <c r="O26" s="930"/>
    </row>
    <row r="27" spans="1:17" ht="15.75" x14ac:dyDescent="0.25">
      <c r="A27" s="7"/>
      <c r="B27" s="1000"/>
      <c r="C27" s="1001"/>
      <c r="D27" s="1001"/>
      <c r="E27" s="1001"/>
      <c r="F27" s="1001"/>
      <c r="G27" s="1002"/>
      <c r="H27" s="621"/>
      <c r="J27" s="930"/>
      <c r="K27" s="930"/>
      <c r="L27" s="930"/>
      <c r="M27" s="930"/>
      <c r="N27" s="930"/>
      <c r="O27" s="930"/>
    </row>
    <row r="28" spans="1:17" ht="16.5" thickBot="1" x14ac:dyDescent="0.3">
      <c r="A28" s="7"/>
      <c r="B28" s="1003"/>
      <c r="C28" s="1004"/>
      <c r="D28" s="1004"/>
      <c r="E28" s="1004"/>
      <c r="F28" s="1004"/>
      <c r="G28" s="1005"/>
    </row>
    <row r="29" spans="1:17" ht="15.75" x14ac:dyDescent="0.25">
      <c r="A29" s="7"/>
    </row>
    <row r="30" spans="1:17" s="20" customFormat="1" ht="16.5" thickBot="1" x14ac:dyDescent="0.3">
      <c r="A30" s="20" t="s">
        <v>168</v>
      </c>
    </row>
    <row r="31" spans="1:17" ht="36" customHeight="1" thickBot="1" x14ac:dyDescent="0.3">
      <c r="A31" s="7"/>
      <c r="H31" s="767"/>
      <c r="I31" s="995" t="s">
        <v>781</v>
      </c>
      <c r="J31" s="996"/>
      <c r="K31" s="995" t="s">
        <v>782</v>
      </c>
      <c r="L31" s="996"/>
      <c r="M31" s="984" t="s">
        <v>783</v>
      </c>
      <c r="N31" s="985"/>
    </row>
    <row r="32" spans="1:17" ht="75" x14ac:dyDescent="0.25">
      <c r="A32" s="7"/>
      <c r="B32" s="931" t="s">
        <v>169</v>
      </c>
      <c r="C32" s="932" t="s">
        <v>524</v>
      </c>
      <c r="D32" s="932" t="s">
        <v>817</v>
      </c>
      <c r="E32" s="932" t="s">
        <v>818</v>
      </c>
      <c r="F32" s="130" t="s">
        <v>819</v>
      </c>
      <c r="H32" s="604" t="s">
        <v>787</v>
      </c>
      <c r="I32" s="605" t="s">
        <v>683</v>
      </c>
      <c r="J32" s="606" t="s">
        <v>674</v>
      </c>
      <c r="K32" s="605" t="s">
        <v>683</v>
      </c>
      <c r="L32" s="606" t="s">
        <v>674</v>
      </c>
      <c r="M32" s="605" t="s">
        <v>683</v>
      </c>
      <c r="N32" s="606" t="s">
        <v>674</v>
      </c>
    </row>
    <row r="33" spans="1:17" ht="75" x14ac:dyDescent="0.25">
      <c r="A33" s="7"/>
      <c r="B33" s="160" t="str">
        <f>IF(E3="No","Water Cooled Chilled Water Plant",CONCATENATE("DCS Plant",CHAR(10),REPLACE(E3,1,4,"")))</f>
        <v>Water Cooled Chilled Water Plant</v>
      </c>
      <c r="C33" s="527">
        <f>IF(E3="yes",G6,C66)</f>
        <v>0</v>
      </c>
      <c r="D33" s="638">
        <f>IF(E3="Yes Path A",G8+O15,IF(E3="Yes Path B",O15,D72))</f>
        <v>0</v>
      </c>
      <c r="E33" s="639">
        <f>D80</f>
        <v>0</v>
      </c>
      <c r="F33" s="640">
        <f>D33+E33</f>
        <v>0</v>
      </c>
      <c r="H33" s="644" t="s">
        <v>679</v>
      </c>
      <c r="I33" s="754">
        <v>0.8</v>
      </c>
      <c r="J33" s="755">
        <v>0.7</v>
      </c>
      <c r="K33" s="754">
        <v>0.9</v>
      </c>
      <c r="L33" s="755">
        <v>0.8</v>
      </c>
      <c r="M33" s="754">
        <v>0.65</v>
      </c>
      <c r="N33" s="755">
        <v>0.65</v>
      </c>
    </row>
    <row r="34" spans="1:17" ht="75" x14ac:dyDescent="0.25">
      <c r="A34" s="7"/>
      <c r="B34" s="161" t="s">
        <v>401</v>
      </c>
      <c r="C34" s="526">
        <f>C110</f>
        <v>0</v>
      </c>
      <c r="D34" s="641">
        <f>D116</f>
        <v>0</v>
      </c>
      <c r="E34" s="642">
        <f>D124</f>
        <v>0</v>
      </c>
      <c r="F34" s="643">
        <f>D34+E34</f>
        <v>0</v>
      </c>
      <c r="H34" s="26" t="s">
        <v>680</v>
      </c>
      <c r="I34" s="4">
        <v>0.75</v>
      </c>
      <c r="J34" s="759">
        <v>0.68</v>
      </c>
      <c r="K34" s="4">
        <v>0.9</v>
      </c>
      <c r="L34" s="759">
        <v>0.68</v>
      </c>
      <c r="M34" s="4">
        <v>0.65</v>
      </c>
      <c r="N34" s="759">
        <v>0.65</v>
      </c>
    </row>
    <row r="35" spans="1:17" ht="75.75" thickBot="1" x14ac:dyDescent="0.3">
      <c r="A35" s="7"/>
      <c r="B35" s="663" t="s">
        <v>402</v>
      </c>
      <c r="C35" s="664">
        <f>C154</f>
        <v>0</v>
      </c>
      <c r="D35" s="665">
        <f>D161</f>
        <v>0</v>
      </c>
      <c r="E35" s="666">
        <f>D170</f>
        <v>0</v>
      </c>
      <c r="F35" s="667">
        <f>D35+E35</f>
        <v>0</v>
      </c>
      <c r="H35" s="26" t="s">
        <v>681</v>
      </c>
      <c r="I35" s="4">
        <v>0.7</v>
      </c>
      <c r="J35" s="756">
        <v>0.65</v>
      </c>
      <c r="K35" s="4">
        <v>0.85</v>
      </c>
      <c r="L35" s="756">
        <v>0.65</v>
      </c>
      <c r="M35" s="4">
        <v>0.65</v>
      </c>
      <c r="N35" s="756">
        <v>0.65</v>
      </c>
    </row>
    <row r="36" spans="1:17" ht="76.5" thickTop="1" thickBot="1" x14ac:dyDescent="0.3">
      <c r="A36" s="7"/>
      <c r="B36" s="660" t="s">
        <v>19</v>
      </c>
      <c r="C36" s="661">
        <f>SUM(C33:C35)</f>
        <v>0</v>
      </c>
      <c r="D36" s="662" t="str">
        <f>IF(C36=0,"-",((D33*C33)+(D34*C34)+(D35*C35))/C36)</f>
        <v>-</v>
      </c>
      <c r="E36" s="662" t="str">
        <f>IF(C36=0,"-",((E33*C33)+(E34*C34)+(E35*C35))/C36)</f>
        <v>-</v>
      </c>
      <c r="F36" s="548">
        <f>IF(C36=0,0,D36+E36)</f>
        <v>0</v>
      </c>
      <c r="H36" s="23" t="s">
        <v>682</v>
      </c>
      <c r="I36" s="757">
        <v>0.68</v>
      </c>
      <c r="J36" s="758">
        <v>0.65</v>
      </c>
      <c r="K36" s="757">
        <v>0.78</v>
      </c>
      <c r="L36" s="758">
        <v>0.65</v>
      </c>
      <c r="M36" s="757">
        <v>0.65</v>
      </c>
      <c r="N36" s="758">
        <v>0.65</v>
      </c>
    </row>
    <row r="37" spans="1:17" ht="15.75" x14ac:dyDescent="0.25">
      <c r="B37" s="7"/>
      <c r="E37" s="601" t="str">
        <f>IF(E36&gt;0.25,"Please check that if project targetting Goldplus and Platinum, Air Distribution shall not exceed 0.25kW/RT","")</f>
        <v>Please check that if project targetting Goldplus and Platinum, Air Distribution shall not exceed 0.25kW/RT</v>
      </c>
    </row>
    <row r="38" spans="1:17" s="20" customFormat="1" ht="15.75" x14ac:dyDescent="0.25">
      <c r="A38" s="20" t="s">
        <v>651</v>
      </c>
    </row>
    <row r="39" spans="1:17" ht="16.5" thickBot="1" x14ac:dyDescent="0.3">
      <c r="B39" s="7"/>
      <c r="K39" s="704" t="s">
        <v>731</v>
      </c>
      <c r="L39" s="704" t="s">
        <v>730</v>
      </c>
      <c r="N39" s="704"/>
    </row>
    <row r="40" spans="1:17" ht="16.5" thickBot="1" x14ac:dyDescent="0.3">
      <c r="B40" s="7"/>
      <c r="D40" s="1011" t="s">
        <v>521</v>
      </c>
      <c r="E40" s="1012"/>
      <c r="F40" s="1012"/>
      <c r="G40" s="1012"/>
      <c r="H40" s="1012"/>
      <c r="I40" s="1012"/>
      <c r="J40" s="1012"/>
      <c r="K40" s="1006" t="s">
        <v>518</v>
      </c>
      <c r="L40" s="1007"/>
      <c r="M40" s="1007"/>
      <c r="N40" s="1007"/>
      <c r="O40" s="1008"/>
    </row>
    <row r="41" spans="1:17" ht="75.75" thickBot="1" x14ac:dyDescent="0.3">
      <c r="B41" s="512" t="s">
        <v>0</v>
      </c>
      <c r="C41" s="513" t="s">
        <v>708</v>
      </c>
      <c r="D41" s="932" t="s">
        <v>14</v>
      </c>
      <c r="E41" s="932" t="s">
        <v>15</v>
      </c>
      <c r="F41" s="932" t="s">
        <v>16</v>
      </c>
      <c r="G41" s="932" t="s">
        <v>17</v>
      </c>
      <c r="H41" s="932" t="s">
        <v>515</v>
      </c>
      <c r="I41" s="932" t="s">
        <v>512</v>
      </c>
      <c r="J41" s="715" t="s">
        <v>454</v>
      </c>
      <c r="K41" s="556" t="s">
        <v>753</v>
      </c>
      <c r="L41" s="557" t="s">
        <v>752</v>
      </c>
      <c r="M41" s="557" t="s">
        <v>754</v>
      </c>
      <c r="N41" s="507" t="s">
        <v>513</v>
      </c>
      <c r="O41" s="560" t="s">
        <v>517</v>
      </c>
      <c r="P41" s="716" t="s">
        <v>511</v>
      </c>
      <c r="Q41" s="509" t="s">
        <v>514</v>
      </c>
    </row>
    <row r="42" spans="1:17" ht="75.75" thickTop="1" x14ac:dyDescent="0.25">
      <c r="B42" s="254">
        <v>0</v>
      </c>
      <c r="C42" s="939"/>
      <c r="D42" s="940"/>
      <c r="E42" s="941"/>
      <c r="F42" s="941"/>
      <c r="G42" s="941"/>
      <c r="H42" s="596">
        <f>SUM(D42:G42)</f>
        <v>0</v>
      </c>
      <c r="I42" s="597">
        <f>IF(C42=0,0,H42/C42)</f>
        <v>0</v>
      </c>
      <c r="J42" s="742" t="s">
        <v>791</v>
      </c>
      <c r="K42" s="594"/>
      <c r="L42" s="725"/>
      <c r="M42" s="528">
        <f>K42+L42</f>
        <v>0</v>
      </c>
      <c r="N42" s="528">
        <f t="shared" ref="N42:N65" si="0">IF(C42=0,0,M42/C42)</f>
        <v>0</v>
      </c>
      <c r="O42" s="714" t="s">
        <v>751</v>
      </c>
      <c r="P42" s="717">
        <f t="shared" ref="P42:Q65" si="1">H42+M42</f>
        <v>0</v>
      </c>
      <c r="Q42" s="531">
        <f t="shared" si="1"/>
        <v>0</v>
      </c>
    </row>
    <row r="43" spans="1:17" ht="93.75" customHeight="1" x14ac:dyDescent="0.25">
      <c r="B43" s="158">
        <v>4.1666666666666664E-2</v>
      </c>
      <c r="C43" s="389"/>
      <c r="D43" s="942"/>
      <c r="E43" s="322"/>
      <c r="F43" s="322"/>
      <c r="G43" s="322"/>
      <c r="H43" s="373">
        <f t="shared" ref="H43:H50" si="2">SUM(D43:G43)</f>
        <v>0</v>
      </c>
      <c r="I43" s="534">
        <f t="shared" ref="I43:I65" si="3">IF(C43=0,0,H43/C43)</f>
        <v>0</v>
      </c>
      <c r="J43" s="743"/>
      <c r="K43" s="594"/>
      <c r="L43" s="725"/>
      <c r="M43" s="528">
        <f t="shared" ref="M43:M65" si="4">K43+L43</f>
        <v>0</v>
      </c>
      <c r="N43" s="528">
        <f t="shared" si="0"/>
        <v>0</v>
      </c>
      <c r="O43" s="748"/>
      <c r="P43" s="717">
        <f t="shared" si="1"/>
        <v>0</v>
      </c>
      <c r="Q43" s="531">
        <f t="shared" si="1"/>
        <v>0</v>
      </c>
    </row>
    <row r="44" spans="1:17" ht="30" customHeight="1" x14ac:dyDescent="0.25">
      <c r="B44" s="158">
        <v>8.3333333333333301E-2</v>
      </c>
      <c r="C44" s="389"/>
      <c r="D44" s="942"/>
      <c r="E44" s="322"/>
      <c r="F44" s="322"/>
      <c r="G44" s="322"/>
      <c r="H44" s="373">
        <f t="shared" si="2"/>
        <v>0</v>
      </c>
      <c r="I44" s="534">
        <f t="shared" si="3"/>
        <v>0</v>
      </c>
      <c r="J44" s="743"/>
      <c r="K44" s="594"/>
      <c r="L44" s="725"/>
      <c r="M44" s="528">
        <f t="shared" si="4"/>
        <v>0</v>
      </c>
      <c r="N44" s="528">
        <f t="shared" si="0"/>
        <v>0</v>
      </c>
      <c r="O44" s="748"/>
      <c r="P44" s="717">
        <f t="shared" si="1"/>
        <v>0</v>
      </c>
      <c r="Q44" s="531">
        <f t="shared" si="1"/>
        <v>0</v>
      </c>
    </row>
    <row r="45" spans="1:17" ht="30" customHeight="1" x14ac:dyDescent="0.25">
      <c r="B45" s="158">
        <v>0.125</v>
      </c>
      <c r="C45" s="389"/>
      <c r="D45" s="942"/>
      <c r="E45" s="322"/>
      <c r="F45" s="322"/>
      <c r="G45" s="322"/>
      <c r="H45" s="373">
        <f t="shared" si="2"/>
        <v>0</v>
      </c>
      <c r="I45" s="534">
        <f t="shared" si="3"/>
        <v>0</v>
      </c>
      <c r="J45" s="743"/>
      <c r="K45" s="594"/>
      <c r="L45" s="725"/>
      <c r="M45" s="528">
        <f t="shared" si="4"/>
        <v>0</v>
      </c>
      <c r="N45" s="528">
        <f t="shared" si="0"/>
        <v>0</v>
      </c>
      <c r="O45" s="748"/>
      <c r="P45" s="717">
        <f t="shared" si="1"/>
        <v>0</v>
      </c>
      <c r="Q45" s="531">
        <f t="shared" si="1"/>
        <v>0</v>
      </c>
    </row>
    <row r="46" spans="1:17" ht="30" customHeight="1" x14ac:dyDescent="0.25">
      <c r="B46" s="158">
        <v>0.16666666666666699</v>
      </c>
      <c r="C46" s="389"/>
      <c r="D46" s="942"/>
      <c r="E46" s="322"/>
      <c r="F46" s="322"/>
      <c r="G46" s="322"/>
      <c r="H46" s="373">
        <f t="shared" si="2"/>
        <v>0</v>
      </c>
      <c r="I46" s="534">
        <f t="shared" si="3"/>
        <v>0</v>
      </c>
      <c r="J46" s="743"/>
      <c r="K46" s="594"/>
      <c r="L46" s="725"/>
      <c r="M46" s="528">
        <f t="shared" si="4"/>
        <v>0</v>
      </c>
      <c r="N46" s="528">
        <f t="shared" si="0"/>
        <v>0</v>
      </c>
      <c r="O46" s="748"/>
      <c r="P46" s="717">
        <f t="shared" si="1"/>
        <v>0</v>
      </c>
      <c r="Q46" s="531">
        <f t="shared" si="1"/>
        <v>0</v>
      </c>
    </row>
    <row r="47" spans="1:17" ht="30" customHeight="1" x14ac:dyDescent="0.25">
      <c r="B47" s="158">
        <v>0.20833333333333301</v>
      </c>
      <c r="C47" s="389"/>
      <c r="D47" s="942"/>
      <c r="E47" s="322"/>
      <c r="F47" s="322"/>
      <c r="G47" s="322"/>
      <c r="H47" s="373">
        <f t="shared" si="2"/>
        <v>0</v>
      </c>
      <c r="I47" s="534">
        <f t="shared" si="3"/>
        <v>0</v>
      </c>
      <c r="J47" s="743"/>
      <c r="K47" s="594"/>
      <c r="L47" s="725"/>
      <c r="M47" s="528">
        <f t="shared" si="4"/>
        <v>0</v>
      </c>
      <c r="N47" s="528">
        <f t="shared" si="0"/>
        <v>0</v>
      </c>
      <c r="O47" s="748"/>
      <c r="P47" s="717">
        <f t="shared" si="1"/>
        <v>0</v>
      </c>
      <c r="Q47" s="531">
        <f t="shared" si="1"/>
        <v>0</v>
      </c>
    </row>
    <row r="48" spans="1:17" ht="30" customHeight="1" x14ac:dyDescent="0.25">
      <c r="B48" s="158">
        <v>0.25</v>
      </c>
      <c r="C48" s="389"/>
      <c r="D48" s="942"/>
      <c r="E48" s="322"/>
      <c r="F48" s="322"/>
      <c r="G48" s="322"/>
      <c r="H48" s="373">
        <f t="shared" si="2"/>
        <v>0</v>
      </c>
      <c r="I48" s="534">
        <f t="shared" si="3"/>
        <v>0</v>
      </c>
      <c r="J48" s="743"/>
      <c r="K48" s="594"/>
      <c r="L48" s="725"/>
      <c r="M48" s="528">
        <f t="shared" si="4"/>
        <v>0</v>
      </c>
      <c r="N48" s="528">
        <f t="shared" si="0"/>
        <v>0</v>
      </c>
      <c r="O48" s="748"/>
      <c r="P48" s="717">
        <f t="shared" si="1"/>
        <v>0</v>
      </c>
      <c r="Q48" s="531">
        <f t="shared" si="1"/>
        <v>0</v>
      </c>
    </row>
    <row r="49" spans="2:17" ht="30" customHeight="1" x14ac:dyDescent="0.25">
      <c r="B49" s="158">
        <v>0.29166666666666702</v>
      </c>
      <c r="C49" s="389"/>
      <c r="D49" s="942"/>
      <c r="E49" s="322"/>
      <c r="F49" s="322"/>
      <c r="G49" s="322"/>
      <c r="H49" s="373">
        <f t="shared" si="2"/>
        <v>0</v>
      </c>
      <c r="I49" s="534">
        <f t="shared" si="3"/>
        <v>0</v>
      </c>
      <c r="J49" s="743"/>
      <c r="K49" s="594"/>
      <c r="L49" s="725"/>
      <c r="M49" s="528">
        <f t="shared" si="4"/>
        <v>0</v>
      </c>
      <c r="N49" s="528">
        <f t="shared" si="0"/>
        <v>0</v>
      </c>
      <c r="O49" s="748"/>
      <c r="P49" s="717">
        <f t="shared" si="1"/>
        <v>0</v>
      </c>
      <c r="Q49" s="531">
        <f t="shared" si="1"/>
        <v>0</v>
      </c>
    </row>
    <row r="50" spans="2:17" ht="30" customHeight="1" x14ac:dyDescent="0.25">
      <c r="B50" s="158">
        <v>0.33333333333333398</v>
      </c>
      <c r="C50" s="389"/>
      <c r="D50" s="942"/>
      <c r="E50" s="322"/>
      <c r="F50" s="322"/>
      <c r="G50" s="322"/>
      <c r="H50" s="373">
        <f t="shared" si="2"/>
        <v>0</v>
      </c>
      <c r="I50" s="534">
        <f t="shared" si="3"/>
        <v>0</v>
      </c>
      <c r="J50" s="743"/>
      <c r="K50" s="594"/>
      <c r="L50" s="725"/>
      <c r="M50" s="528">
        <f t="shared" si="4"/>
        <v>0</v>
      </c>
      <c r="N50" s="528">
        <f>IF(C50=0,0,M50/C50)</f>
        <v>0</v>
      </c>
      <c r="O50" s="748"/>
      <c r="P50" s="717">
        <f t="shared" si="1"/>
        <v>0</v>
      </c>
      <c r="Q50" s="531">
        <f>I50+N50</f>
        <v>0</v>
      </c>
    </row>
    <row r="51" spans="2:17" ht="30" customHeight="1" x14ac:dyDescent="0.25">
      <c r="B51" s="158">
        <v>0.375000000000001</v>
      </c>
      <c r="C51" s="389"/>
      <c r="D51" s="942"/>
      <c r="E51" s="322"/>
      <c r="F51" s="322"/>
      <c r="G51" s="322"/>
      <c r="H51" s="373">
        <f>SUM(D51:G51)</f>
        <v>0</v>
      </c>
      <c r="I51" s="534">
        <f t="shared" si="3"/>
        <v>0</v>
      </c>
      <c r="J51" s="743"/>
      <c r="K51" s="594"/>
      <c r="L51" s="725"/>
      <c r="M51" s="528">
        <f t="shared" si="4"/>
        <v>0</v>
      </c>
      <c r="N51" s="528">
        <f t="shared" si="0"/>
        <v>0</v>
      </c>
      <c r="O51" s="748"/>
      <c r="P51" s="717">
        <f t="shared" si="1"/>
        <v>0</v>
      </c>
      <c r="Q51" s="531">
        <f t="shared" si="1"/>
        <v>0</v>
      </c>
    </row>
    <row r="52" spans="2:17" ht="30" customHeight="1" x14ac:dyDescent="0.25">
      <c r="B52" s="158">
        <v>0.41666666666666802</v>
      </c>
      <c r="C52" s="389"/>
      <c r="D52" s="942"/>
      <c r="E52" s="322"/>
      <c r="F52" s="322"/>
      <c r="G52" s="322"/>
      <c r="H52" s="373">
        <f t="shared" ref="H52:H65" si="5">SUM(D52:G52)</f>
        <v>0</v>
      </c>
      <c r="I52" s="534">
        <f t="shared" si="3"/>
        <v>0</v>
      </c>
      <c r="J52" s="743"/>
      <c r="K52" s="594"/>
      <c r="L52" s="725"/>
      <c r="M52" s="528">
        <f t="shared" si="4"/>
        <v>0</v>
      </c>
      <c r="N52" s="528">
        <f t="shared" si="0"/>
        <v>0</v>
      </c>
      <c r="O52" s="748"/>
      <c r="P52" s="717">
        <f t="shared" si="1"/>
        <v>0</v>
      </c>
      <c r="Q52" s="531">
        <f t="shared" si="1"/>
        <v>0</v>
      </c>
    </row>
    <row r="53" spans="2:17" ht="30" customHeight="1" x14ac:dyDescent="0.25">
      <c r="B53" s="158">
        <v>0.45833333333333498</v>
      </c>
      <c r="C53" s="389"/>
      <c r="D53" s="942"/>
      <c r="E53" s="322"/>
      <c r="F53" s="322"/>
      <c r="G53" s="322"/>
      <c r="H53" s="373">
        <f t="shared" si="5"/>
        <v>0</v>
      </c>
      <c r="I53" s="534">
        <f t="shared" si="3"/>
        <v>0</v>
      </c>
      <c r="J53" s="743"/>
      <c r="K53" s="594"/>
      <c r="L53" s="725"/>
      <c r="M53" s="528">
        <f t="shared" si="4"/>
        <v>0</v>
      </c>
      <c r="N53" s="528">
        <f t="shared" si="0"/>
        <v>0</v>
      </c>
      <c r="O53" s="748"/>
      <c r="P53" s="717">
        <f t="shared" si="1"/>
        <v>0</v>
      </c>
      <c r="Q53" s="531">
        <f t="shared" si="1"/>
        <v>0</v>
      </c>
    </row>
    <row r="54" spans="2:17" ht="30" customHeight="1" x14ac:dyDescent="0.25">
      <c r="B54" s="158">
        <v>0.500000000000002</v>
      </c>
      <c r="C54" s="389"/>
      <c r="D54" s="942"/>
      <c r="E54" s="322"/>
      <c r="F54" s="322"/>
      <c r="G54" s="322"/>
      <c r="H54" s="373">
        <f t="shared" si="5"/>
        <v>0</v>
      </c>
      <c r="I54" s="534">
        <f t="shared" si="3"/>
        <v>0</v>
      </c>
      <c r="J54" s="743"/>
      <c r="K54" s="594"/>
      <c r="L54" s="725"/>
      <c r="M54" s="528">
        <f t="shared" si="4"/>
        <v>0</v>
      </c>
      <c r="N54" s="528">
        <f t="shared" si="0"/>
        <v>0</v>
      </c>
      <c r="O54" s="748"/>
      <c r="P54" s="717">
        <f t="shared" si="1"/>
        <v>0</v>
      </c>
      <c r="Q54" s="531">
        <f t="shared" si="1"/>
        <v>0</v>
      </c>
    </row>
    <row r="55" spans="2:17" ht="30" customHeight="1" x14ac:dyDescent="0.25">
      <c r="B55" s="158">
        <v>0.54166666666666896</v>
      </c>
      <c r="C55" s="389"/>
      <c r="D55" s="942"/>
      <c r="E55" s="322"/>
      <c r="F55" s="322"/>
      <c r="G55" s="322"/>
      <c r="H55" s="373">
        <f t="shared" si="5"/>
        <v>0</v>
      </c>
      <c r="I55" s="534">
        <f t="shared" si="3"/>
        <v>0</v>
      </c>
      <c r="J55" s="743"/>
      <c r="K55" s="594"/>
      <c r="L55" s="725"/>
      <c r="M55" s="528">
        <f t="shared" si="4"/>
        <v>0</v>
      </c>
      <c r="N55" s="528">
        <f t="shared" si="0"/>
        <v>0</v>
      </c>
      <c r="O55" s="748"/>
      <c r="P55" s="717">
        <f t="shared" si="1"/>
        <v>0</v>
      </c>
      <c r="Q55" s="531">
        <f t="shared" si="1"/>
        <v>0</v>
      </c>
    </row>
    <row r="56" spans="2:17" ht="30" customHeight="1" x14ac:dyDescent="0.25">
      <c r="B56" s="158">
        <v>0.58333333333333603</v>
      </c>
      <c r="C56" s="389"/>
      <c r="D56" s="942"/>
      <c r="E56" s="322"/>
      <c r="F56" s="322"/>
      <c r="G56" s="322"/>
      <c r="H56" s="373">
        <f t="shared" si="5"/>
        <v>0</v>
      </c>
      <c r="I56" s="534">
        <f t="shared" si="3"/>
        <v>0</v>
      </c>
      <c r="J56" s="743"/>
      <c r="K56" s="594"/>
      <c r="L56" s="725"/>
      <c r="M56" s="528">
        <f t="shared" si="4"/>
        <v>0</v>
      </c>
      <c r="N56" s="528">
        <f t="shared" si="0"/>
        <v>0</v>
      </c>
      <c r="O56" s="748"/>
      <c r="P56" s="717">
        <f t="shared" si="1"/>
        <v>0</v>
      </c>
      <c r="Q56" s="531">
        <f t="shared" si="1"/>
        <v>0</v>
      </c>
    </row>
    <row r="57" spans="2:17" ht="30" customHeight="1" x14ac:dyDescent="0.25">
      <c r="B57" s="158">
        <v>0.625000000000003</v>
      </c>
      <c r="C57" s="389"/>
      <c r="D57" s="942"/>
      <c r="E57" s="322"/>
      <c r="F57" s="322"/>
      <c r="G57" s="322"/>
      <c r="H57" s="373">
        <f t="shared" si="5"/>
        <v>0</v>
      </c>
      <c r="I57" s="534">
        <f t="shared" si="3"/>
        <v>0</v>
      </c>
      <c r="J57" s="743"/>
      <c r="K57" s="594"/>
      <c r="L57" s="725"/>
      <c r="M57" s="528">
        <f t="shared" si="4"/>
        <v>0</v>
      </c>
      <c r="N57" s="528">
        <f t="shared" si="0"/>
        <v>0</v>
      </c>
      <c r="O57" s="748"/>
      <c r="P57" s="717">
        <f t="shared" si="1"/>
        <v>0</v>
      </c>
      <c r="Q57" s="531">
        <f t="shared" si="1"/>
        <v>0</v>
      </c>
    </row>
    <row r="58" spans="2:17" ht="30" customHeight="1" x14ac:dyDescent="0.25">
      <c r="B58" s="158">
        <v>0.66666666666666996</v>
      </c>
      <c r="C58" s="389"/>
      <c r="D58" s="942"/>
      <c r="E58" s="322"/>
      <c r="F58" s="322"/>
      <c r="G58" s="322"/>
      <c r="H58" s="373">
        <f t="shared" si="5"/>
        <v>0</v>
      </c>
      <c r="I58" s="534">
        <f t="shared" si="3"/>
        <v>0</v>
      </c>
      <c r="J58" s="743"/>
      <c r="K58" s="594"/>
      <c r="L58" s="725"/>
      <c r="M58" s="528">
        <f t="shared" si="4"/>
        <v>0</v>
      </c>
      <c r="N58" s="528">
        <f t="shared" si="0"/>
        <v>0</v>
      </c>
      <c r="O58" s="748"/>
      <c r="P58" s="717">
        <f t="shared" si="1"/>
        <v>0</v>
      </c>
      <c r="Q58" s="531">
        <f t="shared" si="1"/>
        <v>0</v>
      </c>
    </row>
    <row r="59" spans="2:17" ht="30" customHeight="1" x14ac:dyDescent="0.25">
      <c r="B59" s="158">
        <v>0.70833333333333703</v>
      </c>
      <c r="C59" s="389"/>
      <c r="D59" s="942"/>
      <c r="E59" s="322"/>
      <c r="F59" s="322"/>
      <c r="G59" s="322"/>
      <c r="H59" s="373">
        <f t="shared" si="5"/>
        <v>0</v>
      </c>
      <c r="I59" s="534">
        <f t="shared" si="3"/>
        <v>0</v>
      </c>
      <c r="J59" s="743"/>
      <c r="K59" s="594"/>
      <c r="L59" s="725"/>
      <c r="M59" s="528">
        <f t="shared" si="4"/>
        <v>0</v>
      </c>
      <c r="N59" s="528">
        <f t="shared" si="0"/>
        <v>0</v>
      </c>
      <c r="O59" s="748"/>
      <c r="P59" s="717">
        <f t="shared" si="1"/>
        <v>0</v>
      </c>
      <c r="Q59" s="531">
        <f t="shared" si="1"/>
        <v>0</v>
      </c>
    </row>
    <row r="60" spans="2:17" ht="30" customHeight="1" x14ac:dyDescent="0.25">
      <c r="B60" s="158">
        <v>0.750000000000004</v>
      </c>
      <c r="C60" s="389"/>
      <c r="D60" s="942"/>
      <c r="E60" s="322"/>
      <c r="F60" s="322"/>
      <c r="G60" s="322"/>
      <c r="H60" s="373">
        <f t="shared" si="5"/>
        <v>0</v>
      </c>
      <c r="I60" s="534">
        <f t="shared" si="3"/>
        <v>0</v>
      </c>
      <c r="J60" s="743"/>
      <c r="K60" s="594"/>
      <c r="L60" s="725"/>
      <c r="M60" s="528">
        <f t="shared" si="4"/>
        <v>0</v>
      </c>
      <c r="N60" s="528">
        <f t="shared" si="0"/>
        <v>0</v>
      </c>
      <c r="O60" s="748"/>
      <c r="P60" s="717">
        <f t="shared" si="1"/>
        <v>0</v>
      </c>
      <c r="Q60" s="531">
        <f t="shared" si="1"/>
        <v>0</v>
      </c>
    </row>
    <row r="61" spans="2:17" ht="30" customHeight="1" x14ac:dyDescent="0.25">
      <c r="B61" s="158">
        <v>0.79166666666667096</v>
      </c>
      <c r="C61" s="389"/>
      <c r="D61" s="942"/>
      <c r="E61" s="322"/>
      <c r="F61" s="322"/>
      <c r="G61" s="322"/>
      <c r="H61" s="373">
        <f t="shared" si="5"/>
        <v>0</v>
      </c>
      <c r="I61" s="534">
        <f t="shared" si="3"/>
        <v>0</v>
      </c>
      <c r="J61" s="743"/>
      <c r="K61" s="594"/>
      <c r="L61" s="725"/>
      <c r="M61" s="528">
        <f t="shared" si="4"/>
        <v>0</v>
      </c>
      <c r="N61" s="528">
        <f t="shared" si="0"/>
        <v>0</v>
      </c>
      <c r="O61" s="748"/>
      <c r="P61" s="717">
        <f t="shared" si="1"/>
        <v>0</v>
      </c>
      <c r="Q61" s="531">
        <f t="shared" si="1"/>
        <v>0</v>
      </c>
    </row>
    <row r="62" spans="2:17" ht="30" customHeight="1" x14ac:dyDescent="0.25">
      <c r="B62" s="158">
        <v>0.83333333333333803</v>
      </c>
      <c r="C62" s="389"/>
      <c r="D62" s="942"/>
      <c r="E62" s="322"/>
      <c r="F62" s="322"/>
      <c r="G62" s="322"/>
      <c r="H62" s="373">
        <f t="shared" si="5"/>
        <v>0</v>
      </c>
      <c r="I62" s="534">
        <f t="shared" si="3"/>
        <v>0</v>
      </c>
      <c r="J62" s="743"/>
      <c r="K62" s="594"/>
      <c r="L62" s="725"/>
      <c r="M62" s="528">
        <f t="shared" si="4"/>
        <v>0</v>
      </c>
      <c r="N62" s="528">
        <f t="shared" si="0"/>
        <v>0</v>
      </c>
      <c r="O62" s="748"/>
      <c r="P62" s="717">
        <f t="shared" si="1"/>
        <v>0</v>
      </c>
      <c r="Q62" s="531">
        <f t="shared" si="1"/>
        <v>0</v>
      </c>
    </row>
    <row r="63" spans="2:17" ht="30" customHeight="1" x14ac:dyDescent="0.25">
      <c r="B63" s="158">
        <v>0.875000000000005</v>
      </c>
      <c r="C63" s="389"/>
      <c r="D63" s="942"/>
      <c r="E63" s="322"/>
      <c r="F63" s="322"/>
      <c r="G63" s="322"/>
      <c r="H63" s="373">
        <f t="shared" si="5"/>
        <v>0</v>
      </c>
      <c r="I63" s="534">
        <f t="shared" si="3"/>
        <v>0</v>
      </c>
      <c r="J63" s="743"/>
      <c r="K63" s="594"/>
      <c r="L63" s="725"/>
      <c r="M63" s="528">
        <f t="shared" si="4"/>
        <v>0</v>
      </c>
      <c r="N63" s="528">
        <f t="shared" si="0"/>
        <v>0</v>
      </c>
      <c r="O63" s="748"/>
      <c r="P63" s="717">
        <f t="shared" si="1"/>
        <v>0</v>
      </c>
      <c r="Q63" s="531">
        <f t="shared" si="1"/>
        <v>0</v>
      </c>
    </row>
    <row r="64" spans="2:17" ht="30" customHeight="1" x14ac:dyDescent="0.25">
      <c r="B64" s="158">
        <v>0.91666666666667196</v>
      </c>
      <c r="C64" s="389"/>
      <c r="D64" s="942"/>
      <c r="E64" s="322"/>
      <c r="F64" s="322"/>
      <c r="G64" s="322"/>
      <c r="H64" s="373">
        <f t="shared" si="5"/>
        <v>0</v>
      </c>
      <c r="I64" s="534">
        <f t="shared" si="3"/>
        <v>0</v>
      </c>
      <c r="J64" s="743"/>
      <c r="K64" s="594"/>
      <c r="L64" s="725"/>
      <c r="M64" s="528">
        <f t="shared" si="4"/>
        <v>0</v>
      </c>
      <c r="N64" s="528">
        <f t="shared" si="0"/>
        <v>0</v>
      </c>
      <c r="O64" s="748"/>
      <c r="P64" s="717">
        <f t="shared" si="1"/>
        <v>0</v>
      </c>
      <c r="Q64" s="531">
        <f t="shared" si="1"/>
        <v>0</v>
      </c>
    </row>
    <row r="65" spans="1:17" ht="30" customHeight="1" thickBot="1" x14ac:dyDescent="0.3">
      <c r="B65" s="253">
        <v>0.95833333333333903</v>
      </c>
      <c r="C65" s="391"/>
      <c r="D65" s="943"/>
      <c r="E65" s="944"/>
      <c r="F65" s="944"/>
      <c r="G65" s="944"/>
      <c r="H65" s="598">
        <f t="shared" si="5"/>
        <v>0</v>
      </c>
      <c r="I65" s="599">
        <f t="shared" si="3"/>
        <v>0</v>
      </c>
      <c r="J65" s="744"/>
      <c r="K65" s="595"/>
      <c r="L65" s="726"/>
      <c r="M65" s="529">
        <f t="shared" si="4"/>
        <v>0</v>
      </c>
      <c r="N65" s="529">
        <f t="shared" si="0"/>
        <v>0</v>
      </c>
      <c r="O65" s="749"/>
      <c r="P65" s="718">
        <f t="shared" si="1"/>
        <v>0</v>
      </c>
      <c r="Q65" s="533">
        <f t="shared" si="1"/>
        <v>0</v>
      </c>
    </row>
    <row r="66" spans="1:17" ht="30" customHeight="1" x14ac:dyDescent="0.25">
      <c r="B66" s="796" t="s">
        <v>19</v>
      </c>
      <c r="C66" s="790">
        <f t="shared" ref="C66:H66" si="6">SUM(C42:C65)</f>
        <v>0</v>
      </c>
      <c r="D66" s="791">
        <f t="shared" si="6"/>
        <v>0</v>
      </c>
      <c r="E66" s="791">
        <f t="shared" si="6"/>
        <v>0</v>
      </c>
      <c r="F66" s="791">
        <f t="shared" si="6"/>
        <v>0</v>
      </c>
      <c r="G66" s="791">
        <f t="shared" si="6"/>
        <v>0</v>
      </c>
      <c r="H66" s="792">
        <f t="shared" si="6"/>
        <v>0</v>
      </c>
      <c r="I66" s="791">
        <f>IF(C66=0,0,H66/C66)</f>
        <v>0</v>
      </c>
      <c r="J66" s="791"/>
      <c r="K66" s="793">
        <f>SUM(K42:K65)</f>
        <v>0</v>
      </c>
      <c r="L66" s="793">
        <f>SUM(L42:L65)</f>
        <v>0</v>
      </c>
      <c r="M66" s="794">
        <f>SUM(M42:M65)</f>
        <v>0</v>
      </c>
      <c r="N66" s="791"/>
      <c r="O66" s="791"/>
      <c r="P66" s="794">
        <f>SUM(P42:P65)</f>
        <v>0</v>
      </c>
      <c r="Q66" s="795"/>
    </row>
    <row r="67" spans="1:17" ht="14.25" customHeight="1" x14ac:dyDescent="0.25">
      <c r="B67" s="87"/>
      <c r="C67" s="815" t="s">
        <v>810</v>
      </c>
      <c r="D67" s="815" t="s">
        <v>809</v>
      </c>
      <c r="E67" s="815" t="s">
        <v>809</v>
      </c>
      <c r="F67" s="815" t="s">
        <v>809</v>
      </c>
      <c r="G67" s="815" t="s">
        <v>809</v>
      </c>
      <c r="H67" s="815" t="s">
        <v>809</v>
      </c>
      <c r="I67" s="815" t="s">
        <v>811</v>
      </c>
      <c r="J67" s="815"/>
      <c r="K67" s="815" t="s">
        <v>809</v>
      </c>
      <c r="L67" s="815" t="s">
        <v>809</v>
      </c>
      <c r="M67" s="815" t="s">
        <v>809</v>
      </c>
      <c r="N67" s="815"/>
      <c r="O67" s="815"/>
      <c r="P67" s="815" t="s">
        <v>809</v>
      </c>
      <c r="Q67" s="815"/>
    </row>
    <row r="68" spans="1:17" x14ac:dyDescent="0.25">
      <c r="C68" s="628" t="s">
        <v>465</v>
      </c>
      <c r="E68" s="525">
        <f>COUNTIF(C42:C65,"&gt;0")</f>
        <v>0</v>
      </c>
      <c r="F68" s="628" t="s">
        <v>466</v>
      </c>
      <c r="K68" s="3" t="s">
        <v>805</v>
      </c>
    </row>
    <row r="69" spans="1:17" x14ac:dyDescent="0.25">
      <c r="K69" s="628" t="s">
        <v>806</v>
      </c>
    </row>
    <row r="70" spans="1:17" s="20" customFormat="1" ht="15.75" x14ac:dyDescent="0.25">
      <c r="A70" s="20" t="s">
        <v>652</v>
      </c>
    </row>
    <row r="71" spans="1:17" s="63" customFormat="1" ht="16.5" thickBot="1" x14ac:dyDescent="0.3"/>
    <row r="72" spans="1:17" ht="30" customHeight="1" thickBot="1" x14ac:dyDescent="0.3">
      <c r="B72" s="1017" t="s">
        <v>813</v>
      </c>
      <c r="C72" s="1018"/>
      <c r="D72" s="536">
        <f>IF(C66=0,0,H66/C66)</f>
        <v>0</v>
      </c>
      <c r="F72" s="992" t="s">
        <v>64</v>
      </c>
      <c r="G72" s="992" t="s">
        <v>65</v>
      </c>
      <c r="H72" s="994"/>
    </row>
    <row r="73" spans="1:17" s="288" customFormat="1" ht="30" customHeight="1" thickBot="1" x14ac:dyDescent="0.3">
      <c r="B73" s="244"/>
      <c r="C73" s="244"/>
      <c r="D73" s="289"/>
      <c r="F73" s="993"/>
      <c r="G73" s="607" t="s">
        <v>67</v>
      </c>
      <c r="H73" s="608" t="s">
        <v>68</v>
      </c>
    </row>
    <row r="74" spans="1:17" s="288" customFormat="1" ht="90.75" thickBot="1" x14ac:dyDescent="0.3">
      <c r="B74" s="244"/>
      <c r="C74" s="244"/>
      <c r="D74" s="289"/>
      <c r="F74" s="68" t="s">
        <v>66</v>
      </c>
      <c r="G74" s="53" t="s">
        <v>69</v>
      </c>
      <c r="H74" s="52" t="s">
        <v>70</v>
      </c>
    </row>
    <row r="75" spans="1:17" s="63" customFormat="1" ht="16.5" thickBot="1" x14ac:dyDescent="0.3"/>
    <row r="76" spans="1:17" ht="30.75" thickBot="1" x14ac:dyDescent="0.3">
      <c r="B76" s="514" t="s">
        <v>516</v>
      </c>
      <c r="C76" s="515" t="s">
        <v>812</v>
      </c>
      <c r="D76" s="241"/>
      <c r="E76" s="241"/>
      <c r="F76" s="241"/>
      <c r="G76" s="241"/>
      <c r="H76" s="241"/>
      <c r="I76" s="241"/>
      <c r="J76" s="241"/>
    </row>
    <row r="77" spans="1:17" ht="15.75" thickBot="1" x14ac:dyDescent="0.3">
      <c r="B77" s="233" t="s">
        <v>219</v>
      </c>
      <c r="C77" s="537">
        <f>M66*1000</f>
        <v>0</v>
      </c>
      <c r="D77" s="242"/>
      <c r="E77" s="242"/>
      <c r="F77" s="242"/>
      <c r="G77" s="242"/>
      <c r="H77" s="242"/>
      <c r="I77" s="242"/>
      <c r="J77" s="242"/>
    </row>
    <row r="79" spans="1:17" ht="35.25" customHeight="1" x14ac:dyDescent="0.25">
      <c r="B79" s="1009" t="s">
        <v>807</v>
      </c>
      <c r="C79" s="1010"/>
      <c r="D79" s="538">
        <f>(C77/1000)</f>
        <v>0</v>
      </c>
    </row>
    <row r="80" spans="1:17" ht="27" customHeight="1" x14ac:dyDescent="0.25">
      <c r="B80" s="1009" t="s">
        <v>808</v>
      </c>
      <c r="C80" s="1010"/>
      <c r="D80" s="609">
        <f>IF(C66=0,0,D79/C66)</f>
        <v>0</v>
      </c>
      <c r="E80" s="39" t="s">
        <v>464</v>
      </c>
    </row>
    <row r="81" spans="1:15" x14ac:dyDescent="0.25">
      <c r="E81" s="5"/>
      <c r="F81" s="8"/>
      <c r="G81" s="5"/>
    </row>
    <row r="82" spans="1:15" s="20" customFormat="1" ht="15.75" x14ac:dyDescent="0.25">
      <c r="A82" s="20" t="s">
        <v>522</v>
      </c>
      <c r="E82" s="54"/>
      <c r="F82" s="54"/>
      <c r="G82" s="54"/>
    </row>
    <row r="83" spans="1:15" x14ac:dyDescent="0.25">
      <c r="E83" s="5"/>
      <c r="F83" s="8"/>
      <c r="G83" s="5"/>
    </row>
    <row r="84" spans="1:15" ht="15.75" thickBot="1" x14ac:dyDescent="0.3">
      <c r="B84" s="5"/>
      <c r="C84" s="5"/>
      <c r="D84" s="1014" t="s">
        <v>520</v>
      </c>
      <c r="E84" s="1015"/>
      <c r="F84" s="1015"/>
      <c r="G84" s="1015"/>
      <c r="H84" s="1015"/>
      <c r="I84" s="1016" t="s">
        <v>518</v>
      </c>
      <c r="J84" s="1016"/>
      <c r="K84" s="1016"/>
      <c r="L84" s="1016"/>
      <c r="M84" s="1016"/>
    </row>
    <row r="85" spans="1:15" ht="75.75" thickBot="1" x14ac:dyDescent="0.3">
      <c r="B85" s="512" t="s">
        <v>0</v>
      </c>
      <c r="C85" s="513" t="s">
        <v>708</v>
      </c>
      <c r="D85" s="10" t="s">
        <v>405</v>
      </c>
      <c r="E85" s="10" t="s">
        <v>15</v>
      </c>
      <c r="F85" s="10" t="s">
        <v>18</v>
      </c>
      <c r="G85" s="10" t="s">
        <v>512</v>
      </c>
      <c r="H85" s="11" t="s">
        <v>454</v>
      </c>
      <c r="I85" s="556" t="s">
        <v>753</v>
      </c>
      <c r="J85" s="557" t="s">
        <v>752</v>
      </c>
      <c r="K85" s="557" t="s">
        <v>754</v>
      </c>
      <c r="L85" s="648" t="s">
        <v>513</v>
      </c>
      <c r="M85" s="649" t="s">
        <v>517</v>
      </c>
      <c r="N85" s="508" t="s">
        <v>511</v>
      </c>
      <c r="O85" s="509" t="s">
        <v>514</v>
      </c>
    </row>
    <row r="86" spans="1:15" ht="75" x14ac:dyDescent="0.25">
      <c r="B86" s="254">
        <v>0</v>
      </c>
      <c r="C86" s="321"/>
      <c r="D86" s="321"/>
      <c r="E86" s="321"/>
      <c r="F86" s="535">
        <f>SUM(D86:E86)</f>
        <v>0</v>
      </c>
      <c r="G86" s="534">
        <f t="shared" ref="G86:G109" si="7">IF(C86=0,0,F86/C86)</f>
        <v>0</v>
      </c>
      <c r="H86" s="745"/>
      <c r="I86" s="728"/>
      <c r="J86" s="729"/>
      <c r="K86" s="528">
        <f>I86+J86</f>
        <v>0</v>
      </c>
      <c r="L86" s="528">
        <f t="shared" ref="L86:L109" si="8">IF(C86=0,0,K86/C86)</f>
        <v>0</v>
      </c>
      <c r="M86" s="748" t="s">
        <v>751</v>
      </c>
      <c r="N86" s="530">
        <f t="shared" ref="N86:O109" si="9">F86+K86</f>
        <v>0</v>
      </c>
      <c r="O86" s="531">
        <f t="shared" si="9"/>
        <v>0</v>
      </c>
    </row>
    <row r="87" spans="1:15" x14ac:dyDescent="0.25">
      <c r="B87" s="158">
        <v>4.1666666666666664E-2</v>
      </c>
      <c r="C87" s="322"/>
      <c r="D87" s="322"/>
      <c r="E87" s="322"/>
      <c r="F87" s="535">
        <f t="shared" ref="F87:F109" si="10">SUM(D87:E87)</f>
        <v>0</v>
      </c>
      <c r="G87" s="534">
        <f t="shared" si="7"/>
        <v>0</v>
      </c>
      <c r="H87" s="746"/>
      <c r="I87" s="730"/>
      <c r="J87" s="731"/>
      <c r="K87" s="528">
        <f t="shared" ref="K87:K109" si="11">I87+J87</f>
        <v>0</v>
      </c>
      <c r="L87" s="528">
        <f t="shared" si="8"/>
        <v>0</v>
      </c>
      <c r="M87" s="748"/>
      <c r="N87" s="530">
        <f t="shared" si="9"/>
        <v>0</v>
      </c>
      <c r="O87" s="531">
        <f t="shared" si="9"/>
        <v>0</v>
      </c>
    </row>
    <row r="88" spans="1:15" x14ac:dyDescent="0.25">
      <c r="B88" s="158">
        <v>8.3333333333333301E-2</v>
      </c>
      <c r="C88" s="322"/>
      <c r="D88" s="322"/>
      <c r="E88" s="322"/>
      <c r="F88" s="535">
        <f t="shared" si="10"/>
        <v>0</v>
      </c>
      <c r="G88" s="534">
        <f t="shared" si="7"/>
        <v>0</v>
      </c>
      <c r="H88" s="746"/>
      <c r="I88" s="730"/>
      <c r="J88" s="731"/>
      <c r="K88" s="528">
        <f t="shared" si="11"/>
        <v>0</v>
      </c>
      <c r="L88" s="528">
        <f t="shared" si="8"/>
        <v>0</v>
      </c>
      <c r="M88" s="748"/>
      <c r="N88" s="530">
        <f t="shared" si="9"/>
        <v>0</v>
      </c>
      <c r="O88" s="531">
        <f t="shared" si="9"/>
        <v>0</v>
      </c>
    </row>
    <row r="89" spans="1:15" x14ac:dyDescent="0.25">
      <c r="B89" s="158">
        <v>0.125</v>
      </c>
      <c r="C89" s="322"/>
      <c r="D89" s="322"/>
      <c r="E89" s="322"/>
      <c r="F89" s="535">
        <f t="shared" si="10"/>
        <v>0</v>
      </c>
      <c r="G89" s="534">
        <f t="shared" si="7"/>
        <v>0</v>
      </c>
      <c r="H89" s="746"/>
      <c r="I89" s="730"/>
      <c r="J89" s="731"/>
      <c r="K89" s="528">
        <f t="shared" si="11"/>
        <v>0</v>
      </c>
      <c r="L89" s="528">
        <f t="shared" si="8"/>
        <v>0</v>
      </c>
      <c r="M89" s="748"/>
      <c r="N89" s="530">
        <f t="shared" si="9"/>
        <v>0</v>
      </c>
      <c r="O89" s="531">
        <f t="shared" si="9"/>
        <v>0</v>
      </c>
    </row>
    <row r="90" spans="1:15" x14ac:dyDescent="0.25">
      <c r="B90" s="158">
        <v>0.16666666666666699</v>
      </c>
      <c r="C90" s="322"/>
      <c r="D90" s="322"/>
      <c r="E90" s="322"/>
      <c r="F90" s="535">
        <f t="shared" si="10"/>
        <v>0</v>
      </c>
      <c r="G90" s="534">
        <f t="shared" si="7"/>
        <v>0</v>
      </c>
      <c r="H90" s="746"/>
      <c r="I90" s="730"/>
      <c r="J90" s="731"/>
      <c r="K90" s="528">
        <f t="shared" si="11"/>
        <v>0</v>
      </c>
      <c r="L90" s="528">
        <f t="shared" si="8"/>
        <v>0</v>
      </c>
      <c r="M90" s="748"/>
      <c r="N90" s="530">
        <f t="shared" si="9"/>
        <v>0</v>
      </c>
      <c r="O90" s="531">
        <f t="shared" si="9"/>
        <v>0</v>
      </c>
    </row>
    <row r="91" spans="1:15" x14ac:dyDescent="0.25">
      <c r="B91" s="158">
        <v>0.20833333333333301</v>
      </c>
      <c r="C91" s="322"/>
      <c r="D91" s="322"/>
      <c r="E91" s="322"/>
      <c r="F91" s="535">
        <f t="shared" si="10"/>
        <v>0</v>
      </c>
      <c r="G91" s="534">
        <f t="shared" si="7"/>
        <v>0</v>
      </c>
      <c r="H91" s="746"/>
      <c r="I91" s="730"/>
      <c r="J91" s="731"/>
      <c r="K91" s="528">
        <f t="shared" si="11"/>
        <v>0</v>
      </c>
      <c r="L91" s="528">
        <f t="shared" si="8"/>
        <v>0</v>
      </c>
      <c r="M91" s="748"/>
      <c r="N91" s="530">
        <f t="shared" si="9"/>
        <v>0</v>
      </c>
      <c r="O91" s="531">
        <f t="shared" si="9"/>
        <v>0</v>
      </c>
    </row>
    <row r="92" spans="1:15" x14ac:dyDescent="0.25">
      <c r="B92" s="158">
        <v>0.25</v>
      </c>
      <c r="C92" s="322"/>
      <c r="D92" s="322"/>
      <c r="E92" s="322"/>
      <c r="F92" s="535">
        <f t="shared" si="10"/>
        <v>0</v>
      </c>
      <c r="G92" s="534">
        <f t="shared" si="7"/>
        <v>0</v>
      </c>
      <c r="H92" s="746"/>
      <c r="I92" s="730"/>
      <c r="J92" s="731"/>
      <c r="K92" s="528">
        <f t="shared" si="11"/>
        <v>0</v>
      </c>
      <c r="L92" s="528">
        <f t="shared" si="8"/>
        <v>0</v>
      </c>
      <c r="M92" s="748"/>
      <c r="N92" s="530">
        <f t="shared" si="9"/>
        <v>0</v>
      </c>
      <c r="O92" s="531">
        <f t="shared" si="9"/>
        <v>0</v>
      </c>
    </row>
    <row r="93" spans="1:15" x14ac:dyDescent="0.25">
      <c r="B93" s="158">
        <v>0.29166666666666702</v>
      </c>
      <c r="C93" s="322"/>
      <c r="D93" s="322"/>
      <c r="E93" s="322"/>
      <c r="F93" s="535">
        <f t="shared" si="10"/>
        <v>0</v>
      </c>
      <c r="G93" s="534">
        <f t="shared" si="7"/>
        <v>0</v>
      </c>
      <c r="H93" s="746"/>
      <c r="I93" s="730"/>
      <c r="J93" s="731"/>
      <c r="K93" s="528">
        <f t="shared" si="11"/>
        <v>0</v>
      </c>
      <c r="L93" s="528">
        <f t="shared" si="8"/>
        <v>0</v>
      </c>
      <c r="M93" s="748"/>
      <c r="N93" s="530">
        <f t="shared" si="9"/>
        <v>0</v>
      </c>
      <c r="O93" s="531">
        <f t="shared" si="9"/>
        <v>0</v>
      </c>
    </row>
    <row r="94" spans="1:15" x14ac:dyDescent="0.25">
      <c r="B94" s="158">
        <v>0.33333333333333398</v>
      </c>
      <c r="C94" s="322"/>
      <c r="D94" s="322"/>
      <c r="E94" s="322"/>
      <c r="F94" s="535">
        <f t="shared" si="10"/>
        <v>0</v>
      </c>
      <c r="G94" s="534">
        <f t="shared" si="7"/>
        <v>0</v>
      </c>
      <c r="H94" s="746"/>
      <c r="I94" s="730"/>
      <c r="J94" s="727"/>
      <c r="K94" s="528">
        <f t="shared" si="11"/>
        <v>0</v>
      </c>
      <c r="L94" s="528">
        <f t="shared" si="8"/>
        <v>0</v>
      </c>
      <c r="M94" s="748"/>
      <c r="N94" s="530">
        <f t="shared" si="9"/>
        <v>0</v>
      </c>
      <c r="O94" s="531">
        <f t="shared" si="9"/>
        <v>0</v>
      </c>
    </row>
    <row r="95" spans="1:15" x14ac:dyDescent="0.25">
      <c r="B95" s="158">
        <v>0.375000000000001</v>
      </c>
      <c r="C95" s="322"/>
      <c r="D95" s="322"/>
      <c r="E95" s="322"/>
      <c r="F95" s="535">
        <f t="shared" si="10"/>
        <v>0</v>
      </c>
      <c r="G95" s="534">
        <f t="shared" si="7"/>
        <v>0</v>
      </c>
      <c r="H95" s="746"/>
      <c r="I95" s="730"/>
      <c r="J95" s="727"/>
      <c r="K95" s="528">
        <f t="shared" si="11"/>
        <v>0</v>
      </c>
      <c r="L95" s="528">
        <f t="shared" si="8"/>
        <v>0</v>
      </c>
      <c r="M95" s="748"/>
      <c r="N95" s="530">
        <f t="shared" si="9"/>
        <v>0</v>
      </c>
      <c r="O95" s="531">
        <f t="shared" si="9"/>
        <v>0</v>
      </c>
    </row>
    <row r="96" spans="1:15" x14ac:dyDescent="0.25">
      <c r="B96" s="158">
        <v>0.41666666666666802</v>
      </c>
      <c r="C96" s="322"/>
      <c r="D96" s="322"/>
      <c r="E96" s="322"/>
      <c r="F96" s="535">
        <f t="shared" si="10"/>
        <v>0</v>
      </c>
      <c r="G96" s="534">
        <f t="shared" si="7"/>
        <v>0</v>
      </c>
      <c r="H96" s="746"/>
      <c r="I96" s="730"/>
      <c r="J96" s="727"/>
      <c r="K96" s="528">
        <f t="shared" si="11"/>
        <v>0</v>
      </c>
      <c r="L96" s="528">
        <f t="shared" si="8"/>
        <v>0</v>
      </c>
      <c r="M96" s="748"/>
      <c r="N96" s="530">
        <f t="shared" si="9"/>
        <v>0</v>
      </c>
      <c r="O96" s="531">
        <f t="shared" si="9"/>
        <v>0</v>
      </c>
    </row>
    <row r="97" spans="2:15" x14ac:dyDescent="0.25">
      <c r="B97" s="158">
        <v>0.45833333333333498</v>
      </c>
      <c r="C97" s="322"/>
      <c r="D97" s="322"/>
      <c r="E97" s="322"/>
      <c r="F97" s="535">
        <f t="shared" si="10"/>
        <v>0</v>
      </c>
      <c r="G97" s="534">
        <f t="shared" si="7"/>
        <v>0</v>
      </c>
      <c r="H97" s="746"/>
      <c r="I97" s="730"/>
      <c r="J97" s="727"/>
      <c r="K97" s="528">
        <f t="shared" si="11"/>
        <v>0</v>
      </c>
      <c r="L97" s="528">
        <f t="shared" si="8"/>
        <v>0</v>
      </c>
      <c r="M97" s="748"/>
      <c r="N97" s="530">
        <f t="shared" si="9"/>
        <v>0</v>
      </c>
      <c r="O97" s="531">
        <f t="shared" si="9"/>
        <v>0</v>
      </c>
    </row>
    <row r="98" spans="2:15" x14ac:dyDescent="0.25">
      <c r="B98" s="158">
        <v>0.500000000000002</v>
      </c>
      <c r="C98" s="322"/>
      <c r="D98" s="322"/>
      <c r="E98" s="322"/>
      <c r="F98" s="535">
        <f t="shared" si="10"/>
        <v>0</v>
      </c>
      <c r="G98" s="534">
        <f t="shared" si="7"/>
        <v>0</v>
      </c>
      <c r="H98" s="746"/>
      <c r="I98" s="730"/>
      <c r="J98" s="727"/>
      <c r="K98" s="528">
        <f t="shared" si="11"/>
        <v>0</v>
      </c>
      <c r="L98" s="528">
        <f t="shared" si="8"/>
        <v>0</v>
      </c>
      <c r="M98" s="748"/>
      <c r="N98" s="530">
        <f t="shared" si="9"/>
        <v>0</v>
      </c>
      <c r="O98" s="531">
        <f t="shared" si="9"/>
        <v>0</v>
      </c>
    </row>
    <row r="99" spans="2:15" x14ac:dyDescent="0.25">
      <c r="B99" s="158">
        <v>0.54166666666666896</v>
      </c>
      <c r="C99" s="322"/>
      <c r="D99" s="322"/>
      <c r="E99" s="322"/>
      <c r="F99" s="535">
        <f t="shared" si="10"/>
        <v>0</v>
      </c>
      <c r="G99" s="534">
        <f t="shared" si="7"/>
        <v>0</v>
      </c>
      <c r="H99" s="746"/>
      <c r="I99" s="730"/>
      <c r="J99" s="727"/>
      <c r="K99" s="528">
        <f t="shared" si="11"/>
        <v>0</v>
      </c>
      <c r="L99" s="528">
        <f t="shared" si="8"/>
        <v>0</v>
      </c>
      <c r="M99" s="748"/>
      <c r="N99" s="530">
        <f t="shared" si="9"/>
        <v>0</v>
      </c>
      <c r="O99" s="531">
        <f t="shared" si="9"/>
        <v>0</v>
      </c>
    </row>
    <row r="100" spans="2:15" x14ac:dyDescent="0.25">
      <c r="B100" s="158">
        <v>0.58333333333333603</v>
      </c>
      <c r="C100" s="322"/>
      <c r="D100" s="322"/>
      <c r="E100" s="322"/>
      <c r="F100" s="535">
        <f t="shared" si="10"/>
        <v>0</v>
      </c>
      <c r="G100" s="534">
        <f t="shared" si="7"/>
        <v>0</v>
      </c>
      <c r="H100" s="746"/>
      <c r="I100" s="730"/>
      <c r="J100" s="727"/>
      <c r="K100" s="528">
        <f t="shared" si="11"/>
        <v>0</v>
      </c>
      <c r="L100" s="528">
        <f t="shared" si="8"/>
        <v>0</v>
      </c>
      <c r="M100" s="748"/>
      <c r="N100" s="530">
        <f t="shared" si="9"/>
        <v>0</v>
      </c>
      <c r="O100" s="531">
        <f t="shared" si="9"/>
        <v>0</v>
      </c>
    </row>
    <row r="101" spans="2:15" x14ac:dyDescent="0.25">
      <c r="B101" s="158">
        <v>0.625000000000003</v>
      </c>
      <c r="C101" s="322"/>
      <c r="D101" s="322"/>
      <c r="E101" s="322"/>
      <c r="F101" s="535">
        <f t="shared" si="10"/>
        <v>0</v>
      </c>
      <c r="G101" s="534">
        <f t="shared" si="7"/>
        <v>0</v>
      </c>
      <c r="H101" s="746"/>
      <c r="I101" s="730"/>
      <c r="J101" s="727"/>
      <c r="K101" s="528">
        <f t="shared" si="11"/>
        <v>0</v>
      </c>
      <c r="L101" s="528">
        <f t="shared" si="8"/>
        <v>0</v>
      </c>
      <c r="M101" s="748"/>
      <c r="N101" s="530">
        <f t="shared" si="9"/>
        <v>0</v>
      </c>
      <c r="O101" s="531">
        <f t="shared" si="9"/>
        <v>0</v>
      </c>
    </row>
    <row r="102" spans="2:15" x14ac:dyDescent="0.25">
      <c r="B102" s="158">
        <v>0.66666666666666996</v>
      </c>
      <c r="C102" s="322"/>
      <c r="D102" s="322"/>
      <c r="E102" s="322"/>
      <c r="F102" s="535">
        <f t="shared" si="10"/>
        <v>0</v>
      </c>
      <c r="G102" s="534">
        <f t="shared" si="7"/>
        <v>0</v>
      </c>
      <c r="H102" s="746"/>
      <c r="I102" s="730"/>
      <c r="J102" s="727"/>
      <c r="K102" s="528">
        <f t="shared" si="11"/>
        <v>0</v>
      </c>
      <c r="L102" s="528">
        <f t="shared" si="8"/>
        <v>0</v>
      </c>
      <c r="M102" s="748"/>
      <c r="N102" s="530">
        <f t="shared" si="9"/>
        <v>0</v>
      </c>
      <c r="O102" s="531">
        <f t="shared" si="9"/>
        <v>0</v>
      </c>
    </row>
    <row r="103" spans="2:15" x14ac:dyDescent="0.25">
      <c r="B103" s="158">
        <v>0.70833333333333703</v>
      </c>
      <c r="C103" s="322"/>
      <c r="D103" s="322"/>
      <c r="E103" s="322"/>
      <c r="F103" s="535">
        <f t="shared" si="10"/>
        <v>0</v>
      </c>
      <c r="G103" s="534">
        <f t="shared" si="7"/>
        <v>0</v>
      </c>
      <c r="H103" s="746"/>
      <c r="I103" s="730"/>
      <c r="J103" s="727"/>
      <c r="K103" s="528">
        <f t="shared" si="11"/>
        <v>0</v>
      </c>
      <c r="L103" s="528">
        <f t="shared" si="8"/>
        <v>0</v>
      </c>
      <c r="M103" s="748"/>
      <c r="N103" s="530">
        <f t="shared" si="9"/>
        <v>0</v>
      </c>
      <c r="O103" s="531">
        <f t="shared" si="9"/>
        <v>0</v>
      </c>
    </row>
    <row r="104" spans="2:15" x14ac:dyDescent="0.25">
      <c r="B104" s="158">
        <v>0.750000000000004</v>
      </c>
      <c r="C104" s="322"/>
      <c r="D104" s="322"/>
      <c r="E104" s="322"/>
      <c r="F104" s="535">
        <f t="shared" si="10"/>
        <v>0</v>
      </c>
      <c r="G104" s="534">
        <f t="shared" si="7"/>
        <v>0</v>
      </c>
      <c r="H104" s="746"/>
      <c r="I104" s="730"/>
      <c r="J104" s="727"/>
      <c r="K104" s="528">
        <f t="shared" si="11"/>
        <v>0</v>
      </c>
      <c r="L104" s="528">
        <f t="shared" si="8"/>
        <v>0</v>
      </c>
      <c r="M104" s="748"/>
      <c r="N104" s="530">
        <f t="shared" si="9"/>
        <v>0</v>
      </c>
      <c r="O104" s="531">
        <f t="shared" si="9"/>
        <v>0</v>
      </c>
    </row>
    <row r="105" spans="2:15" x14ac:dyDescent="0.25">
      <c r="B105" s="158">
        <v>0.79166666666667096</v>
      </c>
      <c r="C105" s="322"/>
      <c r="D105" s="322"/>
      <c r="E105" s="322"/>
      <c r="F105" s="535">
        <f t="shared" si="10"/>
        <v>0</v>
      </c>
      <c r="G105" s="534">
        <f t="shared" si="7"/>
        <v>0</v>
      </c>
      <c r="H105" s="746"/>
      <c r="I105" s="730"/>
      <c r="J105" s="731"/>
      <c r="K105" s="528">
        <f t="shared" si="11"/>
        <v>0</v>
      </c>
      <c r="L105" s="528">
        <f t="shared" si="8"/>
        <v>0</v>
      </c>
      <c r="M105" s="748"/>
      <c r="N105" s="530">
        <f t="shared" si="9"/>
        <v>0</v>
      </c>
      <c r="O105" s="531">
        <f t="shared" si="9"/>
        <v>0</v>
      </c>
    </row>
    <row r="106" spans="2:15" x14ac:dyDescent="0.25">
      <c r="B106" s="158">
        <v>0.83333333333333803</v>
      </c>
      <c r="C106" s="322"/>
      <c r="D106" s="322"/>
      <c r="E106" s="322"/>
      <c r="F106" s="535">
        <f t="shared" si="10"/>
        <v>0</v>
      </c>
      <c r="G106" s="534">
        <f t="shared" si="7"/>
        <v>0</v>
      </c>
      <c r="H106" s="746"/>
      <c r="I106" s="730"/>
      <c r="J106" s="731"/>
      <c r="K106" s="528">
        <f t="shared" si="11"/>
        <v>0</v>
      </c>
      <c r="L106" s="528">
        <f t="shared" si="8"/>
        <v>0</v>
      </c>
      <c r="M106" s="748"/>
      <c r="N106" s="530">
        <f t="shared" si="9"/>
        <v>0</v>
      </c>
      <c r="O106" s="531">
        <f t="shared" si="9"/>
        <v>0</v>
      </c>
    </row>
    <row r="107" spans="2:15" x14ac:dyDescent="0.25">
      <c r="B107" s="158">
        <v>0.875000000000005</v>
      </c>
      <c r="C107" s="322"/>
      <c r="D107" s="322"/>
      <c r="E107" s="322"/>
      <c r="F107" s="535">
        <f t="shared" si="10"/>
        <v>0</v>
      </c>
      <c r="G107" s="534">
        <f t="shared" si="7"/>
        <v>0</v>
      </c>
      <c r="H107" s="746"/>
      <c r="I107" s="730"/>
      <c r="J107" s="731"/>
      <c r="K107" s="528">
        <f t="shared" si="11"/>
        <v>0</v>
      </c>
      <c r="L107" s="528">
        <f t="shared" si="8"/>
        <v>0</v>
      </c>
      <c r="M107" s="748"/>
      <c r="N107" s="530">
        <f t="shared" si="9"/>
        <v>0</v>
      </c>
      <c r="O107" s="531">
        <f t="shared" si="9"/>
        <v>0</v>
      </c>
    </row>
    <row r="108" spans="2:15" x14ac:dyDescent="0.25">
      <c r="B108" s="158">
        <v>0.91666666666667196</v>
      </c>
      <c r="C108" s="322"/>
      <c r="D108" s="322"/>
      <c r="E108" s="322"/>
      <c r="F108" s="535">
        <f t="shared" si="10"/>
        <v>0</v>
      </c>
      <c r="G108" s="534">
        <f t="shared" si="7"/>
        <v>0</v>
      </c>
      <c r="H108" s="746"/>
      <c r="I108" s="730"/>
      <c r="J108" s="731"/>
      <c r="K108" s="528">
        <f t="shared" si="11"/>
        <v>0</v>
      </c>
      <c r="L108" s="528">
        <f t="shared" si="8"/>
        <v>0</v>
      </c>
      <c r="M108" s="748"/>
      <c r="N108" s="530">
        <f t="shared" si="9"/>
        <v>0</v>
      </c>
      <c r="O108" s="531">
        <f t="shared" si="9"/>
        <v>0</v>
      </c>
    </row>
    <row r="109" spans="2:15" ht="15.75" thickBot="1" x14ac:dyDescent="0.3">
      <c r="B109" s="253">
        <v>0.95833333333333903</v>
      </c>
      <c r="C109" s="323"/>
      <c r="D109" s="323"/>
      <c r="E109" s="323"/>
      <c r="F109" s="535">
        <f t="shared" si="10"/>
        <v>0</v>
      </c>
      <c r="G109" s="534">
        <f t="shared" si="7"/>
        <v>0</v>
      </c>
      <c r="H109" s="747"/>
      <c r="I109" s="732"/>
      <c r="J109" s="733"/>
      <c r="K109" s="528">
        <f t="shared" si="11"/>
        <v>0</v>
      </c>
      <c r="L109" s="529">
        <f t="shared" si="8"/>
        <v>0</v>
      </c>
      <c r="M109" s="749"/>
      <c r="N109" s="532">
        <f t="shared" si="9"/>
        <v>0</v>
      </c>
      <c r="O109" s="533">
        <f t="shared" si="9"/>
        <v>0</v>
      </c>
    </row>
    <row r="110" spans="2:15" x14ac:dyDescent="0.25">
      <c r="B110" s="797" t="s">
        <v>19</v>
      </c>
      <c r="C110" s="798">
        <f>SUM(C86:C109)</f>
        <v>0</v>
      </c>
      <c r="D110" s="798">
        <f>SUM(D86:D109)</f>
        <v>0</v>
      </c>
      <c r="E110" s="798">
        <f>SUM(E86:E109)</f>
        <v>0</v>
      </c>
      <c r="F110" s="799">
        <f>SUM(F86:F109)</f>
        <v>0</v>
      </c>
      <c r="G110" s="800">
        <f>IF(C110=0,0,F110/C110)</f>
        <v>0</v>
      </c>
      <c r="H110" s="799"/>
      <c r="I110" s="802">
        <f>SUM(I86:I109)</f>
        <v>0</v>
      </c>
      <c r="J110" s="802">
        <f>SUM(J86:J109)</f>
        <v>0</v>
      </c>
      <c r="K110" s="802">
        <f>SUM(K86:K109)</f>
        <v>0</v>
      </c>
      <c r="L110" s="799"/>
      <c r="M110" s="799"/>
      <c r="N110" s="802">
        <f>SUM(N86:N109)</f>
        <v>0</v>
      </c>
      <c r="O110" s="789"/>
    </row>
    <row r="111" spans="2:15" x14ac:dyDescent="0.25">
      <c r="B111" s="801"/>
      <c r="C111" s="813" t="s">
        <v>810</v>
      </c>
      <c r="D111" s="813" t="s">
        <v>809</v>
      </c>
      <c r="E111" s="813" t="s">
        <v>809</v>
      </c>
      <c r="F111" s="813" t="s">
        <v>809</v>
      </c>
      <c r="G111" s="814" t="s">
        <v>814</v>
      </c>
      <c r="H111" s="815"/>
      <c r="I111" s="813" t="s">
        <v>809</v>
      </c>
      <c r="J111" s="813" t="s">
        <v>809</v>
      </c>
      <c r="K111" s="813" t="s">
        <v>809</v>
      </c>
      <c r="L111" s="815"/>
      <c r="M111" s="815"/>
      <c r="N111" s="813" t="s">
        <v>809</v>
      </c>
      <c r="O111" s="815"/>
    </row>
    <row r="112" spans="2:15" x14ac:dyDescent="0.25">
      <c r="B112" s="510"/>
      <c r="C112" s="628" t="s">
        <v>465</v>
      </c>
      <c r="E112" s="525">
        <f>COUNTIF(C86:C109,"&gt;0")</f>
        <v>0</v>
      </c>
      <c r="F112" s="628" t="s">
        <v>466</v>
      </c>
      <c r="I112" s="3" t="s">
        <v>805</v>
      </c>
    </row>
    <row r="113" spans="1:10" x14ac:dyDescent="0.25">
      <c r="I113" s="628" t="s">
        <v>806</v>
      </c>
    </row>
    <row r="114" spans="1:10" s="20" customFormat="1" ht="15.75" x14ac:dyDescent="0.25">
      <c r="A114" s="20" t="s">
        <v>523</v>
      </c>
    </row>
    <row r="115" spans="1:10" ht="15.75" thickBot="1" x14ac:dyDescent="0.3"/>
    <row r="116" spans="1:10" ht="30.75" customHeight="1" x14ac:dyDescent="0.25">
      <c r="B116" s="990" t="s">
        <v>815</v>
      </c>
      <c r="C116" s="991"/>
      <c r="D116" s="539">
        <f>IF(C110=0,0,F110/C110)</f>
        <v>0</v>
      </c>
      <c r="E116" s="245"/>
      <c r="F116" s="992" t="s">
        <v>64</v>
      </c>
      <c r="G116" s="992" t="s">
        <v>65</v>
      </c>
      <c r="H116" s="994"/>
    </row>
    <row r="117" spans="1:10" ht="15.75" thickBot="1" x14ac:dyDescent="0.3">
      <c r="D117" s="287"/>
      <c r="E117" s="245"/>
      <c r="F117" s="993"/>
      <c r="G117" s="607" t="s">
        <v>67</v>
      </c>
      <c r="H117" s="608" t="s">
        <v>68</v>
      </c>
    </row>
    <row r="118" spans="1:10" ht="75.75" thickBot="1" x14ac:dyDescent="0.3">
      <c r="F118" s="68" t="s">
        <v>404</v>
      </c>
      <c r="G118" s="53" t="s">
        <v>70</v>
      </c>
      <c r="H118" s="52" t="s">
        <v>71</v>
      </c>
    </row>
    <row r="119" spans="1:10" s="63" customFormat="1" ht="16.5" thickBot="1" x14ac:dyDescent="0.3"/>
    <row r="120" spans="1:10" ht="30.75" thickBot="1" x14ac:dyDescent="0.3">
      <c r="B120" s="514" t="s">
        <v>516</v>
      </c>
      <c r="C120" s="515" t="s">
        <v>812</v>
      </c>
      <c r="D120" s="241"/>
      <c r="E120" s="241"/>
      <c r="F120" s="241"/>
      <c r="G120" s="241"/>
      <c r="H120" s="241"/>
      <c r="I120" s="241"/>
      <c r="J120" s="241"/>
    </row>
    <row r="121" spans="1:10" ht="15.75" thickBot="1" x14ac:dyDescent="0.3">
      <c r="B121" s="233" t="s">
        <v>219</v>
      </c>
      <c r="C121" s="537">
        <f>K110*1000</f>
        <v>0</v>
      </c>
      <c r="D121" s="242"/>
      <c r="E121" s="242"/>
      <c r="F121" s="242"/>
      <c r="G121" s="242"/>
      <c r="H121" s="242"/>
      <c r="I121" s="242"/>
      <c r="J121" s="242"/>
    </row>
    <row r="123" spans="1:10" ht="27.75" customHeight="1" x14ac:dyDescent="0.25">
      <c r="B123" s="1009" t="s">
        <v>807</v>
      </c>
      <c r="C123" s="1010"/>
      <c r="D123" s="735">
        <f>(C121/1000)</f>
        <v>0</v>
      </c>
    </row>
    <row r="124" spans="1:10" ht="27.75" customHeight="1" x14ac:dyDescent="0.25">
      <c r="B124" s="1009" t="s">
        <v>808</v>
      </c>
      <c r="C124" s="1010"/>
      <c r="D124" s="734">
        <f>IF(C110=0,0,D123/C110)</f>
        <v>0</v>
      </c>
      <c r="E124" s="39" t="s">
        <v>464</v>
      </c>
    </row>
    <row r="125" spans="1:10" x14ac:dyDescent="0.25">
      <c r="B125" s="244"/>
      <c r="C125" s="244"/>
      <c r="D125" s="243"/>
    </row>
    <row r="126" spans="1:10" s="20" customFormat="1" ht="15.75" x14ac:dyDescent="0.25">
      <c r="A126" s="20" t="s">
        <v>525</v>
      </c>
      <c r="E126" s="54"/>
      <c r="F126" s="54"/>
      <c r="G126" s="54"/>
    </row>
    <row r="127" spans="1:10" ht="15.75" thickBot="1" x14ac:dyDescent="0.3">
      <c r="B127" s="244"/>
      <c r="C127" s="244"/>
      <c r="D127" s="243"/>
    </row>
    <row r="128" spans="1:10" ht="15.75" thickBot="1" x14ac:dyDescent="0.3">
      <c r="B128" s="5"/>
      <c r="C128" s="5"/>
      <c r="D128" s="1011" t="s">
        <v>530</v>
      </c>
      <c r="E128" s="1012"/>
      <c r="F128" s="1012"/>
      <c r="G128" s="1013"/>
      <c r="H128" s="1006" t="s">
        <v>518</v>
      </c>
      <c r="I128" s="1007"/>
      <c r="J128" s="1008"/>
    </row>
    <row r="129" spans="2:12" ht="60.75" thickBot="1" x14ac:dyDescent="0.3">
      <c r="B129" s="512" t="s">
        <v>0</v>
      </c>
      <c r="C129" s="561" t="s">
        <v>535</v>
      </c>
      <c r="D129" s="415" t="str">
        <f>IF(C129="Average Hourly Simulated Cooling Load (RT)","Hourly weighted COP","Total Weighted COP")</f>
        <v>Hourly weighted COP</v>
      </c>
      <c r="E129" s="11" t="s">
        <v>406</v>
      </c>
      <c r="F129" s="10" t="s">
        <v>528</v>
      </c>
      <c r="G129" s="11" t="s">
        <v>529</v>
      </c>
      <c r="H129" s="556" t="s">
        <v>519</v>
      </c>
      <c r="I129" s="507" t="s">
        <v>513</v>
      </c>
      <c r="J129" s="560" t="s">
        <v>531</v>
      </c>
      <c r="K129" s="508" t="s">
        <v>511</v>
      </c>
      <c r="L129" s="509" t="s">
        <v>514</v>
      </c>
    </row>
    <row r="130" spans="2:12" x14ac:dyDescent="0.25">
      <c r="B130" s="157">
        <v>0</v>
      </c>
      <c r="C130" s="321"/>
      <c r="D130" s="321"/>
      <c r="E130" s="397">
        <f>IF(C130=0,0,(1/(D130/3.517))*C130)</f>
        <v>0</v>
      </c>
      <c r="F130" s="534">
        <f>IF(C130=0,0,E130/C130)</f>
        <v>0</v>
      </c>
      <c r="G130" s="745"/>
      <c r="H130" s="558"/>
      <c r="I130" s="528">
        <f t="shared" ref="I130:I153" si="12">IF(C130=0,0,H130/C130)</f>
        <v>0</v>
      </c>
      <c r="J130" s="748"/>
      <c r="K130" s="530">
        <f t="shared" ref="K130:L153" si="13">E130+H130</f>
        <v>0</v>
      </c>
      <c r="L130" s="592">
        <f t="shared" si="13"/>
        <v>0</v>
      </c>
    </row>
    <row r="131" spans="2:12" x14ac:dyDescent="0.25">
      <c r="B131" s="158">
        <v>4.1666666666666664E-2</v>
      </c>
      <c r="C131" s="322"/>
      <c r="D131" s="322"/>
      <c r="E131" s="397">
        <f t="shared" ref="E131:E153" si="14">IF(C131=0,0,(1/(D131/3.517))*C131)</f>
        <v>0</v>
      </c>
      <c r="F131" s="534">
        <f t="shared" ref="F131:F153" si="15">IF(C131=0,0,E131/C131)</f>
        <v>0</v>
      </c>
      <c r="G131" s="746"/>
      <c r="H131" s="558"/>
      <c r="I131" s="528">
        <f t="shared" si="12"/>
        <v>0</v>
      </c>
      <c r="J131" s="748"/>
      <c r="K131" s="530">
        <f t="shared" si="13"/>
        <v>0</v>
      </c>
      <c r="L131" s="592">
        <f t="shared" si="13"/>
        <v>0</v>
      </c>
    </row>
    <row r="132" spans="2:12" ht="15" customHeight="1" x14ac:dyDescent="0.25">
      <c r="B132" s="158">
        <v>8.3333333333333301E-2</v>
      </c>
      <c r="C132" s="322"/>
      <c r="D132" s="322"/>
      <c r="E132" s="397">
        <f t="shared" si="14"/>
        <v>0</v>
      </c>
      <c r="F132" s="534">
        <f t="shared" si="15"/>
        <v>0</v>
      </c>
      <c r="G132" s="746"/>
      <c r="H132" s="558"/>
      <c r="I132" s="528">
        <f t="shared" si="12"/>
        <v>0</v>
      </c>
      <c r="J132" s="748"/>
      <c r="K132" s="530">
        <f t="shared" si="13"/>
        <v>0</v>
      </c>
      <c r="L132" s="592">
        <f t="shared" si="13"/>
        <v>0</v>
      </c>
    </row>
    <row r="133" spans="2:12" x14ac:dyDescent="0.25">
      <c r="B133" s="158">
        <v>0.125</v>
      </c>
      <c r="C133" s="322"/>
      <c r="D133" s="322"/>
      <c r="E133" s="397">
        <f t="shared" si="14"/>
        <v>0</v>
      </c>
      <c r="F133" s="534">
        <f t="shared" si="15"/>
        <v>0</v>
      </c>
      <c r="G133" s="746"/>
      <c r="H133" s="558"/>
      <c r="I133" s="528">
        <f t="shared" si="12"/>
        <v>0</v>
      </c>
      <c r="J133" s="748"/>
      <c r="K133" s="530">
        <f t="shared" si="13"/>
        <v>0</v>
      </c>
      <c r="L133" s="592">
        <f t="shared" si="13"/>
        <v>0</v>
      </c>
    </row>
    <row r="134" spans="2:12" x14ac:dyDescent="0.25">
      <c r="B134" s="158">
        <v>0.16666666666666699</v>
      </c>
      <c r="C134" s="322"/>
      <c r="D134" s="322"/>
      <c r="E134" s="397">
        <f t="shared" si="14"/>
        <v>0</v>
      </c>
      <c r="F134" s="534">
        <f t="shared" si="15"/>
        <v>0</v>
      </c>
      <c r="G134" s="746"/>
      <c r="H134" s="558"/>
      <c r="I134" s="528">
        <f t="shared" si="12"/>
        <v>0</v>
      </c>
      <c r="J134" s="748"/>
      <c r="K134" s="530">
        <f t="shared" si="13"/>
        <v>0</v>
      </c>
      <c r="L134" s="592">
        <f t="shared" si="13"/>
        <v>0</v>
      </c>
    </row>
    <row r="135" spans="2:12" x14ac:dyDescent="0.25">
      <c r="B135" s="158">
        <v>0.20833333333333301</v>
      </c>
      <c r="C135" s="322"/>
      <c r="D135" s="322"/>
      <c r="E135" s="397">
        <f t="shared" si="14"/>
        <v>0</v>
      </c>
      <c r="F135" s="534">
        <f t="shared" si="15"/>
        <v>0</v>
      </c>
      <c r="G135" s="746"/>
      <c r="H135" s="558"/>
      <c r="I135" s="528">
        <f t="shared" si="12"/>
        <v>0</v>
      </c>
      <c r="J135" s="748"/>
      <c r="K135" s="530">
        <f t="shared" si="13"/>
        <v>0</v>
      </c>
      <c r="L135" s="592">
        <f t="shared" si="13"/>
        <v>0</v>
      </c>
    </row>
    <row r="136" spans="2:12" x14ac:dyDescent="0.25">
      <c r="B136" s="158">
        <v>0.25</v>
      </c>
      <c r="C136" s="322"/>
      <c r="D136" s="322"/>
      <c r="E136" s="397">
        <f t="shared" si="14"/>
        <v>0</v>
      </c>
      <c r="F136" s="534">
        <f t="shared" si="15"/>
        <v>0</v>
      </c>
      <c r="G136" s="746"/>
      <c r="H136" s="558"/>
      <c r="I136" s="528">
        <f t="shared" si="12"/>
        <v>0</v>
      </c>
      <c r="J136" s="748"/>
      <c r="K136" s="530">
        <f t="shared" si="13"/>
        <v>0</v>
      </c>
      <c r="L136" s="592">
        <f t="shared" si="13"/>
        <v>0</v>
      </c>
    </row>
    <row r="137" spans="2:12" x14ac:dyDescent="0.25">
      <c r="B137" s="158">
        <v>0.29166666666666702</v>
      </c>
      <c r="C137" s="322"/>
      <c r="D137" s="322"/>
      <c r="E137" s="397">
        <f t="shared" si="14"/>
        <v>0</v>
      </c>
      <c r="F137" s="534">
        <f t="shared" si="15"/>
        <v>0</v>
      </c>
      <c r="G137" s="746"/>
      <c r="H137" s="558"/>
      <c r="I137" s="528">
        <f t="shared" si="12"/>
        <v>0</v>
      </c>
      <c r="J137" s="748"/>
      <c r="K137" s="530">
        <f t="shared" si="13"/>
        <v>0</v>
      </c>
      <c r="L137" s="592">
        <f t="shared" si="13"/>
        <v>0</v>
      </c>
    </row>
    <row r="138" spans="2:12" x14ac:dyDescent="0.25">
      <c r="B138" s="158">
        <v>0.33333333333333398</v>
      </c>
      <c r="C138" s="322"/>
      <c r="D138" s="322"/>
      <c r="E138" s="397">
        <f t="shared" si="14"/>
        <v>0</v>
      </c>
      <c r="F138" s="534">
        <f t="shared" si="15"/>
        <v>0</v>
      </c>
      <c r="G138" s="746"/>
      <c r="H138" s="558"/>
      <c r="I138" s="528">
        <f t="shared" si="12"/>
        <v>0</v>
      </c>
      <c r="J138" s="748"/>
      <c r="K138" s="530">
        <f t="shared" si="13"/>
        <v>0</v>
      </c>
      <c r="L138" s="592">
        <f t="shared" si="13"/>
        <v>0</v>
      </c>
    </row>
    <row r="139" spans="2:12" x14ac:dyDescent="0.25">
      <c r="B139" s="158">
        <v>0.375000000000001</v>
      </c>
      <c r="C139" s="322"/>
      <c r="D139" s="322"/>
      <c r="E139" s="397">
        <f t="shared" si="14"/>
        <v>0</v>
      </c>
      <c r="F139" s="534">
        <f t="shared" si="15"/>
        <v>0</v>
      </c>
      <c r="G139" s="746"/>
      <c r="H139" s="558"/>
      <c r="I139" s="528">
        <f t="shared" si="12"/>
        <v>0</v>
      </c>
      <c r="J139" s="748"/>
      <c r="K139" s="530">
        <f t="shared" si="13"/>
        <v>0</v>
      </c>
      <c r="L139" s="592">
        <f t="shared" si="13"/>
        <v>0</v>
      </c>
    </row>
    <row r="140" spans="2:12" x14ac:dyDescent="0.25">
      <c r="B140" s="158">
        <v>0.41666666666666802</v>
      </c>
      <c r="C140" s="322"/>
      <c r="D140" s="322"/>
      <c r="E140" s="397">
        <f t="shared" si="14"/>
        <v>0</v>
      </c>
      <c r="F140" s="534">
        <f t="shared" si="15"/>
        <v>0</v>
      </c>
      <c r="G140" s="746"/>
      <c r="H140" s="558"/>
      <c r="I140" s="528">
        <f t="shared" si="12"/>
        <v>0</v>
      </c>
      <c r="J140" s="748"/>
      <c r="K140" s="530">
        <f t="shared" si="13"/>
        <v>0</v>
      </c>
      <c r="L140" s="592">
        <f t="shared" si="13"/>
        <v>0</v>
      </c>
    </row>
    <row r="141" spans="2:12" x14ac:dyDescent="0.25">
      <c r="B141" s="158">
        <v>0.45833333333333498</v>
      </c>
      <c r="C141" s="322"/>
      <c r="D141" s="322"/>
      <c r="E141" s="397">
        <f t="shared" si="14"/>
        <v>0</v>
      </c>
      <c r="F141" s="534">
        <f t="shared" si="15"/>
        <v>0</v>
      </c>
      <c r="G141" s="746"/>
      <c r="H141" s="558"/>
      <c r="I141" s="528">
        <f t="shared" si="12"/>
        <v>0</v>
      </c>
      <c r="J141" s="748"/>
      <c r="K141" s="530">
        <f t="shared" si="13"/>
        <v>0</v>
      </c>
      <c r="L141" s="592">
        <f t="shared" si="13"/>
        <v>0</v>
      </c>
    </row>
    <row r="142" spans="2:12" x14ac:dyDescent="0.25">
      <c r="B142" s="158">
        <v>0.500000000000002</v>
      </c>
      <c r="C142" s="322"/>
      <c r="D142" s="322"/>
      <c r="E142" s="397">
        <f t="shared" si="14"/>
        <v>0</v>
      </c>
      <c r="F142" s="534">
        <f t="shared" si="15"/>
        <v>0</v>
      </c>
      <c r="G142" s="746"/>
      <c r="H142" s="558"/>
      <c r="I142" s="528">
        <f t="shared" si="12"/>
        <v>0</v>
      </c>
      <c r="J142" s="748"/>
      <c r="K142" s="530">
        <f t="shared" si="13"/>
        <v>0</v>
      </c>
      <c r="L142" s="592">
        <f t="shared" si="13"/>
        <v>0</v>
      </c>
    </row>
    <row r="143" spans="2:12" x14ac:dyDescent="0.25">
      <c r="B143" s="158">
        <v>0.54166666666666896</v>
      </c>
      <c r="C143" s="322"/>
      <c r="D143" s="322"/>
      <c r="E143" s="397">
        <f t="shared" si="14"/>
        <v>0</v>
      </c>
      <c r="F143" s="534">
        <f t="shared" si="15"/>
        <v>0</v>
      </c>
      <c r="G143" s="746"/>
      <c r="H143" s="558"/>
      <c r="I143" s="528">
        <f t="shared" si="12"/>
        <v>0</v>
      </c>
      <c r="J143" s="748"/>
      <c r="K143" s="530">
        <f t="shared" si="13"/>
        <v>0</v>
      </c>
      <c r="L143" s="592">
        <f t="shared" si="13"/>
        <v>0</v>
      </c>
    </row>
    <row r="144" spans="2:12" x14ac:dyDescent="0.25">
      <c r="B144" s="158">
        <v>0.58333333333333603</v>
      </c>
      <c r="C144" s="322"/>
      <c r="D144" s="322"/>
      <c r="E144" s="397">
        <f t="shared" si="14"/>
        <v>0</v>
      </c>
      <c r="F144" s="534">
        <f t="shared" si="15"/>
        <v>0</v>
      </c>
      <c r="G144" s="746"/>
      <c r="H144" s="558"/>
      <c r="I144" s="528">
        <f t="shared" si="12"/>
        <v>0</v>
      </c>
      <c r="J144" s="748"/>
      <c r="K144" s="530">
        <f t="shared" si="13"/>
        <v>0</v>
      </c>
      <c r="L144" s="592">
        <f t="shared" si="13"/>
        <v>0</v>
      </c>
    </row>
    <row r="145" spans="1:14" x14ac:dyDescent="0.25">
      <c r="B145" s="158">
        <v>0.625000000000003</v>
      </c>
      <c r="C145" s="322"/>
      <c r="D145" s="322"/>
      <c r="E145" s="397">
        <f t="shared" si="14"/>
        <v>0</v>
      </c>
      <c r="F145" s="534">
        <f t="shared" si="15"/>
        <v>0</v>
      </c>
      <c r="G145" s="746"/>
      <c r="H145" s="558"/>
      <c r="I145" s="528">
        <f t="shared" si="12"/>
        <v>0</v>
      </c>
      <c r="J145" s="748"/>
      <c r="K145" s="530">
        <f t="shared" si="13"/>
        <v>0</v>
      </c>
      <c r="L145" s="592">
        <f t="shared" si="13"/>
        <v>0</v>
      </c>
    </row>
    <row r="146" spans="1:14" x14ac:dyDescent="0.25">
      <c r="B146" s="158">
        <v>0.66666666666666996</v>
      </c>
      <c r="C146" s="322"/>
      <c r="D146" s="322"/>
      <c r="E146" s="397">
        <f t="shared" si="14"/>
        <v>0</v>
      </c>
      <c r="F146" s="534">
        <f t="shared" si="15"/>
        <v>0</v>
      </c>
      <c r="G146" s="746"/>
      <c r="H146" s="558"/>
      <c r="I146" s="528">
        <f t="shared" si="12"/>
        <v>0</v>
      </c>
      <c r="J146" s="748"/>
      <c r="K146" s="530">
        <f t="shared" si="13"/>
        <v>0</v>
      </c>
      <c r="L146" s="592">
        <f t="shared" si="13"/>
        <v>0</v>
      </c>
    </row>
    <row r="147" spans="1:14" x14ac:dyDescent="0.25">
      <c r="B147" s="158">
        <v>0.70833333333333703</v>
      </c>
      <c r="C147" s="322"/>
      <c r="D147" s="322"/>
      <c r="E147" s="397">
        <f t="shared" si="14"/>
        <v>0</v>
      </c>
      <c r="F147" s="534">
        <f t="shared" si="15"/>
        <v>0</v>
      </c>
      <c r="G147" s="746"/>
      <c r="H147" s="558"/>
      <c r="I147" s="528">
        <f t="shared" si="12"/>
        <v>0</v>
      </c>
      <c r="J147" s="748"/>
      <c r="K147" s="530">
        <f t="shared" si="13"/>
        <v>0</v>
      </c>
      <c r="L147" s="592">
        <f t="shared" si="13"/>
        <v>0</v>
      </c>
    </row>
    <row r="148" spans="1:14" x14ac:dyDescent="0.25">
      <c r="B148" s="158">
        <v>0.750000000000004</v>
      </c>
      <c r="C148" s="322"/>
      <c r="D148" s="322"/>
      <c r="E148" s="397">
        <f t="shared" si="14"/>
        <v>0</v>
      </c>
      <c r="F148" s="534">
        <f t="shared" si="15"/>
        <v>0</v>
      </c>
      <c r="G148" s="746"/>
      <c r="H148" s="558"/>
      <c r="I148" s="528">
        <f t="shared" si="12"/>
        <v>0</v>
      </c>
      <c r="J148" s="748"/>
      <c r="K148" s="530">
        <f t="shared" si="13"/>
        <v>0</v>
      </c>
      <c r="L148" s="592">
        <f t="shared" si="13"/>
        <v>0</v>
      </c>
    </row>
    <row r="149" spans="1:14" x14ac:dyDescent="0.25">
      <c r="B149" s="158">
        <v>0.79166666666667096</v>
      </c>
      <c r="C149" s="322"/>
      <c r="D149" s="322"/>
      <c r="E149" s="397">
        <f t="shared" si="14"/>
        <v>0</v>
      </c>
      <c r="F149" s="534">
        <f t="shared" si="15"/>
        <v>0</v>
      </c>
      <c r="G149" s="746"/>
      <c r="H149" s="558"/>
      <c r="I149" s="528">
        <f t="shared" si="12"/>
        <v>0</v>
      </c>
      <c r="J149" s="748"/>
      <c r="K149" s="530">
        <f t="shared" si="13"/>
        <v>0</v>
      </c>
      <c r="L149" s="592">
        <f t="shared" si="13"/>
        <v>0</v>
      </c>
    </row>
    <row r="150" spans="1:14" x14ac:dyDescent="0.25">
      <c r="B150" s="158">
        <v>0.83333333333333803</v>
      </c>
      <c r="C150" s="322"/>
      <c r="D150" s="322"/>
      <c r="E150" s="397">
        <f t="shared" si="14"/>
        <v>0</v>
      </c>
      <c r="F150" s="534">
        <f t="shared" si="15"/>
        <v>0</v>
      </c>
      <c r="G150" s="746"/>
      <c r="H150" s="558"/>
      <c r="I150" s="528">
        <f t="shared" si="12"/>
        <v>0</v>
      </c>
      <c r="J150" s="748"/>
      <c r="K150" s="530">
        <f t="shared" si="13"/>
        <v>0</v>
      </c>
      <c r="L150" s="592">
        <f t="shared" si="13"/>
        <v>0</v>
      </c>
    </row>
    <row r="151" spans="1:14" x14ac:dyDescent="0.25">
      <c r="B151" s="158">
        <v>0.875000000000005</v>
      </c>
      <c r="C151" s="322"/>
      <c r="D151" s="322"/>
      <c r="E151" s="397">
        <f t="shared" si="14"/>
        <v>0</v>
      </c>
      <c r="F151" s="534">
        <f t="shared" si="15"/>
        <v>0</v>
      </c>
      <c r="G151" s="746"/>
      <c r="H151" s="558"/>
      <c r="I151" s="528">
        <f t="shared" si="12"/>
        <v>0</v>
      </c>
      <c r="J151" s="748"/>
      <c r="K151" s="530">
        <f t="shared" si="13"/>
        <v>0</v>
      </c>
      <c r="L151" s="592">
        <f t="shared" si="13"/>
        <v>0</v>
      </c>
    </row>
    <row r="152" spans="1:14" x14ac:dyDescent="0.25">
      <c r="B152" s="158">
        <v>0.91666666666667196</v>
      </c>
      <c r="C152" s="322"/>
      <c r="D152" s="322"/>
      <c r="E152" s="397">
        <f t="shared" si="14"/>
        <v>0</v>
      </c>
      <c r="F152" s="534">
        <f t="shared" si="15"/>
        <v>0</v>
      </c>
      <c r="G152" s="746"/>
      <c r="H152" s="558"/>
      <c r="I152" s="528">
        <f t="shared" si="12"/>
        <v>0</v>
      </c>
      <c r="J152" s="748"/>
      <c r="K152" s="530">
        <f t="shared" si="13"/>
        <v>0</v>
      </c>
      <c r="L152" s="592">
        <f t="shared" si="13"/>
        <v>0</v>
      </c>
    </row>
    <row r="153" spans="1:14" ht="15.75" thickBot="1" x14ac:dyDescent="0.3">
      <c r="B153" s="158">
        <v>0.95833333333333903</v>
      </c>
      <c r="C153" s="322"/>
      <c r="D153" s="322"/>
      <c r="E153" s="397">
        <f t="shared" si="14"/>
        <v>0</v>
      </c>
      <c r="F153" s="534">
        <f t="shared" si="15"/>
        <v>0</v>
      </c>
      <c r="G153" s="747"/>
      <c r="H153" s="559"/>
      <c r="I153" s="528">
        <f t="shared" si="12"/>
        <v>0</v>
      </c>
      <c r="J153" s="749"/>
      <c r="K153" s="532">
        <f t="shared" si="13"/>
        <v>0</v>
      </c>
      <c r="L153" s="593">
        <f t="shared" si="13"/>
        <v>0</v>
      </c>
    </row>
    <row r="154" spans="1:14" ht="15.75" thickBot="1" x14ac:dyDescent="0.3">
      <c r="B154" s="809" t="s">
        <v>19</v>
      </c>
      <c r="C154" s="804">
        <f>SUM(C130:C153)</f>
        <v>0</v>
      </c>
      <c r="D154" s="805"/>
      <c r="E154" s="806">
        <f>SUM(E130:E153)</f>
        <v>0</v>
      </c>
      <c r="F154" s="800">
        <f>IF(C154=0,0,E154/C154)</f>
        <v>0</v>
      </c>
      <c r="G154" s="799"/>
      <c r="H154" s="807">
        <f t="shared" ref="H154" si="16">SUM(H130:H153)</f>
        <v>0</v>
      </c>
      <c r="I154" s="799"/>
      <c r="J154" s="799"/>
      <c r="K154" s="807">
        <f t="shared" ref="K154" si="17">SUM(K130:K153)</f>
        <v>0</v>
      </c>
      <c r="L154" s="808"/>
    </row>
    <row r="155" spans="1:14" x14ac:dyDescent="0.25">
      <c r="B155" s="801"/>
      <c r="C155" s="816" t="s">
        <v>810</v>
      </c>
      <c r="D155" s="817"/>
      <c r="E155" s="816" t="s">
        <v>809</v>
      </c>
      <c r="F155" s="817" t="s">
        <v>814</v>
      </c>
      <c r="G155" s="817"/>
      <c r="H155" s="818" t="s">
        <v>809</v>
      </c>
      <c r="I155" s="818"/>
      <c r="J155" s="818"/>
      <c r="K155" s="818" t="s">
        <v>809</v>
      </c>
      <c r="L155" s="818"/>
      <c r="M155" s="803"/>
      <c r="N155" s="803"/>
    </row>
    <row r="156" spans="1:14" ht="27.75" customHeight="1" x14ac:dyDescent="0.25">
      <c r="B156" s="510"/>
      <c r="C156" s="628" t="s">
        <v>465</v>
      </c>
      <c r="E156" s="525">
        <f>COUNTIF(C130:C153,"&gt;0")</f>
        <v>0</v>
      </c>
      <c r="F156" s="628" t="s">
        <v>466</v>
      </c>
      <c r="G156" s="61"/>
      <c r="H156" s="960" t="s">
        <v>532</v>
      </c>
      <c r="I156" s="960"/>
      <c r="J156" s="960"/>
      <c r="K156" s="960"/>
      <c r="L156" s="960"/>
      <c r="M156" s="960"/>
      <c r="N156" s="960"/>
    </row>
    <row r="157" spans="1:14" x14ac:dyDescent="0.25">
      <c r="B157" s="510"/>
      <c r="C157" s="511"/>
      <c r="D157" s="61"/>
      <c r="E157" s="511"/>
      <c r="F157" s="61"/>
      <c r="G157" s="61"/>
      <c r="H157" s="960"/>
      <c r="I157" s="960"/>
      <c r="J157" s="960"/>
      <c r="K157" s="960"/>
      <c r="L157" s="960"/>
      <c r="M157" s="960"/>
      <c r="N157" s="960"/>
    </row>
    <row r="158" spans="1:14" s="20" customFormat="1" ht="15.75" x14ac:dyDescent="0.25">
      <c r="A158" s="20" t="s">
        <v>526</v>
      </c>
    </row>
    <row r="160" spans="1:14" ht="15.75" thickBot="1" x14ac:dyDescent="0.3"/>
    <row r="161" spans="2:10" ht="22.5" customHeight="1" x14ac:dyDescent="0.25">
      <c r="B161" s="1041" t="s">
        <v>816</v>
      </c>
      <c r="C161" s="1042"/>
      <c r="D161" s="539">
        <f>IF(C154=0,0,E154/C154)</f>
        <v>0</v>
      </c>
      <c r="F161" s="992" t="s">
        <v>64</v>
      </c>
      <c r="G161" s="992" t="s">
        <v>65</v>
      </c>
      <c r="H161" s="994"/>
    </row>
    <row r="162" spans="2:10" ht="15.75" thickBot="1" x14ac:dyDescent="0.3">
      <c r="B162" s="244"/>
      <c r="C162" s="244"/>
      <c r="D162" s="243"/>
      <c r="F162" s="993"/>
      <c r="G162" s="607" t="s">
        <v>67</v>
      </c>
      <c r="H162" s="608" t="s">
        <v>68</v>
      </c>
    </row>
    <row r="163" spans="2:10" ht="75.75" thickBot="1" x14ac:dyDescent="0.3">
      <c r="F163" s="68" t="s">
        <v>404</v>
      </c>
      <c r="G163" s="53" t="s">
        <v>70</v>
      </c>
      <c r="H163" s="52" t="s">
        <v>71</v>
      </c>
    </row>
    <row r="164" spans="2:10" s="63" customFormat="1" ht="15.75" x14ac:dyDescent="0.25"/>
    <row r="165" spans="2:10" ht="15.75" thickBot="1" x14ac:dyDescent="0.3">
      <c r="B165" s="31"/>
    </row>
    <row r="166" spans="2:10" ht="30.75" thickBot="1" x14ac:dyDescent="0.3">
      <c r="B166" s="514" t="s">
        <v>516</v>
      </c>
      <c r="C166" s="515" t="s">
        <v>812</v>
      </c>
      <c r="D166" s="241"/>
      <c r="E166" s="241"/>
      <c r="F166" s="241"/>
      <c r="G166" s="241"/>
      <c r="H166" s="241"/>
      <c r="I166" s="241"/>
      <c r="J166" s="241"/>
    </row>
    <row r="167" spans="2:10" ht="15.75" thickBot="1" x14ac:dyDescent="0.3">
      <c r="B167" s="233" t="s">
        <v>219</v>
      </c>
      <c r="C167" s="537">
        <f>H154*1000</f>
        <v>0</v>
      </c>
      <c r="D167" s="242"/>
      <c r="E167" s="242"/>
      <c r="F167" s="242"/>
      <c r="G167" s="242"/>
      <c r="H167" s="242"/>
      <c r="I167" s="242"/>
      <c r="J167" s="242"/>
    </row>
    <row r="169" spans="2:10" ht="27.75" customHeight="1" x14ac:dyDescent="0.25">
      <c r="B169" s="1009" t="s">
        <v>807</v>
      </c>
      <c r="C169" s="1010"/>
      <c r="D169" s="591">
        <f>(C167/1000)</f>
        <v>0</v>
      </c>
    </row>
    <row r="170" spans="2:10" ht="28.5" customHeight="1" x14ac:dyDescent="0.25">
      <c r="B170" s="1009" t="s">
        <v>808</v>
      </c>
      <c r="C170" s="1010"/>
      <c r="D170" s="734">
        <f>IF(C154=0,0,D169/C154)</f>
        <v>0</v>
      </c>
      <c r="E170" s="39" t="s">
        <v>464</v>
      </c>
    </row>
  </sheetData>
  <sheetProtection algorithmName="SHA-512" hashValue="VRyyWteThD7iNLOOY2ZrYvenMQCZrf7B/ib8LpxPAzikC4uWQWt6WgNRR+bpKa5fLbwZykMW3uJcv06QbRhaCQ==" saltValue="3hv/CP2Oip+//5Mp6HS+ZQ==" spinCount="100000" sheet="1" objects="1" scenarios="1" selectLockedCells="1"/>
  <mergeCells count="47">
    <mergeCell ref="H156:N157"/>
    <mergeCell ref="B169:C169"/>
    <mergeCell ref="B170:C170"/>
    <mergeCell ref="G161:H161"/>
    <mergeCell ref="B161:C161"/>
    <mergeCell ref="F161:F162"/>
    <mergeCell ref="M8:N8"/>
    <mergeCell ref="M7:N7"/>
    <mergeCell ref="M6:N6"/>
    <mergeCell ref="M5:N5"/>
    <mergeCell ref="L4:N4"/>
    <mergeCell ref="B3:D3"/>
    <mergeCell ref="F3:H3"/>
    <mergeCell ref="B5:F5"/>
    <mergeCell ref="I3:K3"/>
    <mergeCell ref="K16:K17"/>
    <mergeCell ref="B6:F6"/>
    <mergeCell ref="B16:C16"/>
    <mergeCell ref="B8:F8"/>
    <mergeCell ref="B7:F7"/>
    <mergeCell ref="G13:H13"/>
    <mergeCell ref="I13:J13"/>
    <mergeCell ref="B17:C17"/>
    <mergeCell ref="H128:J128"/>
    <mergeCell ref="I31:J31"/>
    <mergeCell ref="B123:C123"/>
    <mergeCell ref="B124:C124"/>
    <mergeCell ref="D128:G128"/>
    <mergeCell ref="D84:H84"/>
    <mergeCell ref="I84:M84"/>
    <mergeCell ref="B79:C79"/>
    <mergeCell ref="B80:C80"/>
    <mergeCell ref="D40:J40"/>
    <mergeCell ref="G72:H72"/>
    <mergeCell ref="M31:N31"/>
    <mergeCell ref="F72:F73"/>
    <mergeCell ref="B72:C72"/>
    <mergeCell ref="K40:O40"/>
    <mergeCell ref="L13:M13"/>
    <mergeCell ref="N13:O13"/>
    <mergeCell ref="B9:F9"/>
    <mergeCell ref="B10:F10"/>
    <mergeCell ref="B116:C116"/>
    <mergeCell ref="F116:F117"/>
    <mergeCell ref="G116:H116"/>
    <mergeCell ref="K31:L31"/>
    <mergeCell ref="B23:G28"/>
  </mergeCells>
  <conditionalFormatting sqref="B5:H5">
    <cfRule type="expression" dxfId="5" priority="6">
      <formula>OR($E$3="yes path A",$E$3="yes path B")</formula>
    </cfRule>
  </conditionalFormatting>
  <conditionalFormatting sqref="H6:H8 I8:J9 I7 B6:B8 G6 B10">
    <cfRule type="expression" dxfId="4" priority="5">
      <formula>OR($E$3="yes path A",$E$3="yes path B")</formula>
    </cfRule>
  </conditionalFormatting>
  <conditionalFormatting sqref="G6">
    <cfRule type="expression" dxfId="3" priority="4">
      <formula>OR($E$3="yes path A",$E$3="yes path B")</formula>
    </cfRule>
  </conditionalFormatting>
  <conditionalFormatting sqref="I3:K3">
    <cfRule type="expression" dxfId="2" priority="3">
      <formula>OR($E$3="yes path A",$E$3="yes path B")</formula>
    </cfRule>
  </conditionalFormatting>
  <conditionalFormatting sqref="B9:F9">
    <cfRule type="expression" dxfId="1" priority="2">
      <formula>OR($E$3="yes path A",$E$3="yes path B")</formula>
    </cfRule>
  </conditionalFormatting>
  <conditionalFormatting sqref="G9:H9">
    <cfRule type="expression" dxfId="0" priority="1">
      <formula>OR($E$3="yes path A",$E$3="yes path B")</formula>
    </cfRule>
  </conditionalFormatting>
  <dataValidations count="4">
    <dataValidation type="list" allowBlank="1" showInputMessage="1" showErrorMessage="1" sqref="C15">
      <formula1>$Q$14:$Q$20</formula1>
    </dataValidation>
    <dataValidation type="list" allowBlank="1" showInputMessage="1" showErrorMessage="1" sqref="E3">
      <formula1>"Yes Path A,Yes Path B,No"</formula1>
    </dataValidation>
    <dataValidation type="list" allowBlank="1" showInputMessage="1" showErrorMessage="1" sqref="C129">
      <formula1>"Average Hourly Simulated Cooling Load (RT), Weighted Cooling Laod (RT)"</formula1>
    </dataValidation>
    <dataValidation type="list" allowBlank="1" showInputMessage="1" showErrorMessage="1" sqref="H129">
      <formula1>"*Total Air-side Motor Input Power (KW),*Total Air-side Motor Nameplate Power (KW)"</formula1>
    </dataValidation>
  </dataValidations>
  <pageMargins left="0.7" right="0.7" top="0.75" bottom="0.75" header="0.3" footer="0.3"/>
  <pageSetup paperSize="8" scale="73" orientation="landscape" r:id="rId1"/>
  <rowBreaks count="4" manualBreakCount="4">
    <brk id="37" max="16383" man="1"/>
    <brk id="69" max="16383" man="1"/>
    <brk id="113" max="16383" man="1"/>
    <brk id="157"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R185"/>
  <sheetViews>
    <sheetView topLeftCell="B1" zoomScaleNormal="100" workbookViewId="0">
      <selection activeCell="B97" sqref="B97"/>
    </sheetView>
  </sheetViews>
  <sheetFormatPr defaultRowHeight="15" x14ac:dyDescent="0.25"/>
  <cols>
    <col min="1" max="1" width="2.42578125" style="2" customWidth="1"/>
    <col min="2" max="2" width="27.28515625" bestFit="1" customWidth="1"/>
    <col min="3" max="3" width="9.7109375" customWidth="1"/>
    <col min="4" max="4" width="16.7109375" style="628" customWidth="1"/>
    <col min="5" max="5" width="9.7109375" style="628" customWidth="1"/>
    <col min="6" max="6" width="19.42578125" customWidth="1"/>
    <col min="7" max="7" width="19.5703125" customWidth="1"/>
    <col min="8" max="8" width="19.5703125" style="628" customWidth="1"/>
    <col min="9" max="9" width="20" customWidth="1"/>
    <col min="10" max="11" width="20.140625" style="30" customWidth="1"/>
  </cols>
  <sheetData>
    <row r="1" spans="1:11" ht="15.75" x14ac:dyDescent="0.25">
      <c r="A1" s="7" t="s">
        <v>13</v>
      </c>
    </row>
    <row r="2" spans="1:11" ht="15" customHeight="1" x14ac:dyDescent="0.25">
      <c r="A2" s="7"/>
    </row>
    <row r="3" spans="1:11" s="20" customFormat="1" ht="15.75" x14ac:dyDescent="0.25">
      <c r="A3" s="20" t="s">
        <v>236</v>
      </c>
    </row>
    <row r="4" spans="1:11" ht="15.75" thickBot="1" x14ac:dyDescent="0.3"/>
    <row r="5" spans="1:11" ht="32.25" customHeight="1" x14ac:dyDescent="0.25">
      <c r="B5" s="1046" t="s">
        <v>5</v>
      </c>
      <c r="C5" s="1048" t="s">
        <v>83</v>
      </c>
      <c r="D5" s="1048" t="s">
        <v>869</v>
      </c>
      <c r="E5" s="1048" t="s">
        <v>865</v>
      </c>
      <c r="F5" s="1050" t="s">
        <v>8</v>
      </c>
      <c r="G5" s="1050"/>
      <c r="H5" s="1050"/>
      <c r="I5" s="1050" t="s">
        <v>41</v>
      </c>
      <c r="J5" s="1050"/>
      <c r="K5" s="1051"/>
    </row>
    <row r="6" spans="1:11" ht="60.75" thickBot="1" x14ac:dyDescent="0.3">
      <c r="B6" s="1047"/>
      <c r="C6" s="1049"/>
      <c r="D6" s="1049"/>
      <c r="E6" s="1049"/>
      <c r="F6" s="143" t="s">
        <v>58</v>
      </c>
      <c r="G6" s="143" t="s">
        <v>84</v>
      </c>
      <c r="H6" s="143" t="s">
        <v>863</v>
      </c>
      <c r="I6" s="143" t="s">
        <v>85</v>
      </c>
      <c r="J6" s="143" t="s">
        <v>59</v>
      </c>
      <c r="K6" s="144" t="s">
        <v>864</v>
      </c>
    </row>
    <row r="7" spans="1:11" ht="15.75" thickBot="1" x14ac:dyDescent="0.3">
      <c r="B7" s="1043" t="s">
        <v>171</v>
      </c>
      <c r="C7" s="1044"/>
      <c r="D7" s="1044"/>
      <c r="E7" s="1044"/>
      <c r="F7" s="1044"/>
      <c r="G7" s="1044"/>
      <c r="H7" s="1044"/>
      <c r="I7" s="1044"/>
      <c r="J7" s="1044"/>
      <c r="K7" s="1045"/>
    </row>
    <row r="8" spans="1:11" x14ac:dyDescent="0.25">
      <c r="B8" s="116" t="s">
        <v>9</v>
      </c>
      <c r="C8" s="327"/>
      <c r="D8" s="327"/>
      <c r="E8" s="769" t="str">
        <f>IF(C8="","NA",IF(D8="",'Building Data schedule'!$C$14,D8))</f>
        <v>NA</v>
      </c>
      <c r="F8" s="327"/>
      <c r="G8" s="769" t="str">
        <f>IF(C8="","",F8/C8)</f>
        <v/>
      </c>
      <c r="H8" s="878" t="str">
        <f>IFERROR(F8*52*E8,"")</f>
        <v/>
      </c>
      <c r="I8" s="770">
        <v>12</v>
      </c>
      <c r="J8" s="769">
        <f>IFERROR(C8*I8,"")</f>
        <v>0</v>
      </c>
      <c r="K8" s="771" t="str">
        <f>IFERROR(J8*52*E8,"")</f>
        <v/>
      </c>
    </row>
    <row r="9" spans="1:11" x14ac:dyDescent="0.25">
      <c r="B9" s="67" t="s">
        <v>172</v>
      </c>
      <c r="C9" s="328"/>
      <c r="D9" s="328"/>
      <c r="E9" s="769" t="str">
        <f>IF(C9="","NA",IF(D9="",'Building Data schedule'!$C$14,D9))</f>
        <v>NA</v>
      </c>
      <c r="F9" s="328"/>
      <c r="G9" s="773" t="str">
        <f t="shared" ref="G9:G15" si="0">IF(C9="","",F9/C9)</f>
        <v/>
      </c>
      <c r="H9" s="878" t="str">
        <f t="shared" ref="H9:H15" si="1">IFERROR(F9*52*E9,"")</f>
        <v/>
      </c>
      <c r="I9" s="772">
        <v>12</v>
      </c>
      <c r="J9" s="773">
        <f t="shared" ref="J9:J15" si="2">IFERROR(C9*I9,"")</f>
        <v>0</v>
      </c>
      <c r="K9" s="771" t="str">
        <f t="shared" ref="K9:K72" si="3">IFERROR(J9*52*E9,"")</f>
        <v/>
      </c>
    </row>
    <row r="10" spans="1:11" x14ac:dyDescent="0.25">
      <c r="B10" s="67" t="s">
        <v>173</v>
      </c>
      <c r="C10" s="328"/>
      <c r="D10" s="328"/>
      <c r="E10" s="769" t="str">
        <f>IF(C10="","NA",IF(D10="",'Building Data schedule'!$C$14,D10))</f>
        <v>NA</v>
      </c>
      <c r="F10" s="328"/>
      <c r="G10" s="773" t="str">
        <f t="shared" si="0"/>
        <v/>
      </c>
      <c r="H10" s="878" t="str">
        <f t="shared" si="1"/>
        <v/>
      </c>
      <c r="I10" s="772">
        <v>12</v>
      </c>
      <c r="J10" s="773">
        <f t="shared" si="2"/>
        <v>0</v>
      </c>
      <c r="K10" s="771" t="str">
        <f t="shared" si="3"/>
        <v/>
      </c>
    </row>
    <row r="11" spans="1:11" x14ac:dyDescent="0.25">
      <c r="B11" s="67" t="s">
        <v>10</v>
      </c>
      <c r="C11" s="328"/>
      <c r="D11" s="328"/>
      <c r="E11" s="769" t="str">
        <f>IF(C11="","NA",IF(D11="",'Building Data schedule'!$C$14,D11))</f>
        <v>NA</v>
      </c>
      <c r="F11" s="328"/>
      <c r="G11" s="773" t="str">
        <f t="shared" si="0"/>
        <v/>
      </c>
      <c r="H11" s="878" t="str">
        <f t="shared" si="1"/>
        <v/>
      </c>
      <c r="I11" s="772">
        <v>12</v>
      </c>
      <c r="J11" s="773">
        <f t="shared" si="2"/>
        <v>0</v>
      </c>
      <c r="K11" s="771" t="str">
        <f t="shared" si="3"/>
        <v/>
      </c>
    </row>
    <row r="12" spans="1:11" x14ac:dyDescent="0.25">
      <c r="B12" s="67" t="s">
        <v>174</v>
      </c>
      <c r="C12" s="328"/>
      <c r="D12" s="328"/>
      <c r="E12" s="769" t="str">
        <f>IF(C12="","NA",IF(D12="",'Building Data schedule'!$C$14,D12))</f>
        <v>NA</v>
      </c>
      <c r="F12" s="328"/>
      <c r="G12" s="773" t="str">
        <f t="shared" si="0"/>
        <v/>
      </c>
      <c r="H12" s="878" t="str">
        <f t="shared" si="1"/>
        <v/>
      </c>
      <c r="I12" s="772">
        <v>12</v>
      </c>
      <c r="J12" s="773">
        <f t="shared" si="2"/>
        <v>0</v>
      </c>
      <c r="K12" s="771" t="str">
        <f t="shared" si="3"/>
        <v/>
      </c>
    </row>
    <row r="13" spans="1:11" x14ac:dyDescent="0.25">
      <c r="B13" s="67" t="s">
        <v>175</v>
      </c>
      <c r="C13" s="328"/>
      <c r="D13" s="328"/>
      <c r="E13" s="769" t="str">
        <f>IF(C13="","NA",IF(D13="",'Building Data schedule'!$C$14,D13))</f>
        <v>NA</v>
      </c>
      <c r="F13" s="328"/>
      <c r="G13" s="773" t="str">
        <f t="shared" si="0"/>
        <v/>
      </c>
      <c r="H13" s="878" t="str">
        <f t="shared" si="1"/>
        <v/>
      </c>
      <c r="I13" s="772">
        <v>12</v>
      </c>
      <c r="J13" s="773">
        <f t="shared" si="2"/>
        <v>0</v>
      </c>
      <c r="K13" s="771" t="str">
        <f t="shared" si="3"/>
        <v/>
      </c>
    </row>
    <row r="14" spans="1:11" x14ac:dyDescent="0.25">
      <c r="B14" s="67" t="s">
        <v>176</v>
      </c>
      <c r="C14" s="328"/>
      <c r="D14" s="328"/>
      <c r="E14" s="769" t="str">
        <f>IF(C14="","NA",IF(D14="",'Building Data schedule'!$C$14,D14))</f>
        <v>NA</v>
      </c>
      <c r="F14" s="328"/>
      <c r="G14" s="773" t="str">
        <f t="shared" si="0"/>
        <v/>
      </c>
      <c r="H14" s="878" t="str">
        <f t="shared" si="1"/>
        <v/>
      </c>
      <c r="I14" s="772">
        <v>12</v>
      </c>
      <c r="J14" s="773">
        <f t="shared" si="2"/>
        <v>0</v>
      </c>
      <c r="K14" s="771" t="str">
        <f t="shared" si="3"/>
        <v/>
      </c>
    </row>
    <row r="15" spans="1:11" ht="15.75" thickBot="1" x14ac:dyDescent="0.3">
      <c r="B15" s="862" t="s">
        <v>170</v>
      </c>
      <c r="C15" s="929"/>
      <c r="D15" s="929"/>
      <c r="E15" s="856" t="str">
        <f>IF(C15="","NA",IF(D15="",'Building Data schedule'!$C$14,D15))</f>
        <v>NA</v>
      </c>
      <c r="F15" s="929"/>
      <c r="G15" s="864" t="str">
        <f t="shared" si="0"/>
        <v/>
      </c>
      <c r="H15" s="878" t="str">
        <f t="shared" si="1"/>
        <v/>
      </c>
      <c r="I15" s="863">
        <v>16</v>
      </c>
      <c r="J15" s="864">
        <f t="shared" si="2"/>
        <v>0</v>
      </c>
      <c r="K15" s="771" t="str">
        <f t="shared" si="3"/>
        <v/>
      </c>
    </row>
    <row r="16" spans="1:11" ht="15.75" thickBot="1" x14ac:dyDescent="0.3">
      <c r="B16" s="1043" t="s">
        <v>177</v>
      </c>
      <c r="C16" s="1044"/>
      <c r="D16" s="1044"/>
      <c r="E16" s="1044"/>
      <c r="F16" s="1044"/>
      <c r="G16" s="1044"/>
      <c r="H16" s="1044"/>
      <c r="I16" s="1044"/>
      <c r="J16" s="1044"/>
      <c r="K16" s="1045"/>
    </row>
    <row r="17" spans="2:12" x14ac:dyDescent="0.25">
      <c r="B17" s="116" t="s">
        <v>178</v>
      </c>
      <c r="C17" s="327"/>
      <c r="D17" s="327"/>
      <c r="E17" s="769" t="str">
        <f>IF(C17="","NA",IF(D17="",'Building Data schedule'!$C$14,D17))</f>
        <v>NA</v>
      </c>
      <c r="F17" s="327"/>
      <c r="G17" s="769" t="str">
        <f>IF(C17="","",F17/C17)</f>
        <v/>
      </c>
      <c r="H17" s="878" t="str">
        <f>IFERROR(F17*52*E17,"")</f>
        <v/>
      </c>
      <c r="I17" s="770">
        <v>10</v>
      </c>
      <c r="J17" s="769">
        <f>IFERROR(C17*I17,"")</f>
        <v>0</v>
      </c>
      <c r="K17" s="771" t="str">
        <f t="shared" si="3"/>
        <v/>
      </c>
    </row>
    <row r="18" spans="2:12" x14ac:dyDescent="0.25">
      <c r="B18" s="540" t="str">
        <f>'Building Data schedule'!B28</f>
        <v xml:space="preserve">Atriums </v>
      </c>
      <c r="C18" s="541" t="str">
        <f>IF('Building Data schedule'!C28="","",'Building Data schedule'!C28)</f>
        <v/>
      </c>
      <c r="D18" s="327"/>
      <c r="E18" s="769" t="str">
        <f>IF(C18="","NA",IF(D18="",'Building Data schedule'!$C$14,D18))</f>
        <v>NA</v>
      </c>
      <c r="F18" s="328"/>
      <c r="G18" s="773" t="str">
        <f t="shared" ref="G18:G81" si="4">IF(C18="","",F18/C18)</f>
        <v/>
      </c>
      <c r="H18" s="878" t="str">
        <f t="shared" ref="H18:H30" si="5">IFERROR(F18*52*E18,"")</f>
        <v/>
      </c>
      <c r="I18" s="772">
        <v>10</v>
      </c>
      <c r="J18" s="773" t="str">
        <f t="shared" ref="J18:J81" si="6">IFERROR(C18*I18,"")</f>
        <v/>
      </c>
      <c r="K18" s="771" t="str">
        <f t="shared" si="3"/>
        <v/>
      </c>
    </row>
    <row r="19" spans="2:12" x14ac:dyDescent="0.25">
      <c r="B19" s="540" t="str">
        <f>'Building Data schedule'!B29</f>
        <v xml:space="preserve">Retail Atriums </v>
      </c>
      <c r="C19" s="541" t="str">
        <f>IF('Building Data schedule'!C29="","",'Building Data schedule'!C29)</f>
        <v/>
      </c>
      <c r="D19" s="327"/>
      <c r="E19" s="769" t="str">
        <f>IF(C19="","NA",IF(D19="",'Building Data schedule'!$C$14,D19))</f>
        <v>NA</v>
      </c>
      <c r="F19" s="328"/>
      <c r="G19" s="773" t="str">
        <f t="shared" si="4"/>
        <v/>
      </c>
      <c r="H19" s="878" t="str">
        <f t="shared" si="5"/>
        <v/>
      </c>
      <c r="I19" s="772">
        <v>10</v>
      </c>
      <c r="J19" s="773" t="str">
        <f t="shared" si="6"/>
        <v/>
      </c>
      <c r="K19" s="771" t="str">
        <f t="shared" si="3"/>
        <v/>
      </c>
    </row>
    <row r="20" spans="2:12" x14ac:dyDescent="0.25">
      <c r="B20" s="540" t="str">
        <f>'Building Data schedule'!B26</f>
        <v>Retail Corridors (Interior)</v>
      </c>
      <c r="C20" s="541" t="str">
        <f>IF('Building Data schedule'!C26="","",'Building Data schedule'!C26)</f>
        <v/>
      </c>
      <c r="D20" s="327"/>
      <c r="E20" s="769" t="str">
        <f>IF(C20="","NA",IF(D20="",'Building Data schedule'!$C$14,D20))</f>
        <v>NA</v>
      </c>
      <c r="F20" s="328"/>
      <c r="G20" s="773" t="str">
        <f t="shared" si="4"/>
        <v/>
      </c>
      <c r="H20" s="878" t="str">
        <f t="shared" si="5"/>
        <v/>
      </c>
      <c r="I20" s="772">
        <v>7</v>
      </c>
      <c r="J20" s="773" t="str">
        <f t="shared" si="6"/>
        <v/>
      </c>
      <c r="K20" s="771" t="str">
        <f t="shared" si="3"/>
        <v/>
      </c>
    </row>
    <row r="21" spans="2:12" x14ac:dyDescent="0.25">
      <c r="B21" s="67" t="s">
        <v>179</v>
      </c>
      <c r="C21" s="328"/>
      <c r="D21" s="327"/>
      <c r="E21" s="769" t="str">
        <f>IF(C21="","NA",IF(D21="",'Building Data schedule'!$C$14,D21))</f>
        <v>NA</v>
      </c>
      <c r="F21" s="328"/>
      <c r="G21" s="773" t="str">
        <f t="shared" si="4"/>
        <v/>
      </c>
      <c r="H21" s="878" t="str">
        <f t="shared" si="5"/>
        <v/>
      </c>
      <c r="I21" s="772">
        <v>10</v>
      </c>
      <c r="J21" s="773">
        <f t="shared" si="6"/>
        <v>0</v>
      </c>
      <c r="K21" s="771" t="str">
        <f t="shared" si="3"/>
        <v/>
      </c>
    </row>
    <row r="22" spans="2:12" x14ac:dyDescent="0.25">
      <c r="B22" s="67" t="s">
        <v>180</v>
      </c>
      <c r="C22" s="328"/>
      <c r="D22" s="328"/>
      <c r="E22" s="769" t="str">
        <f>IF(C22="","NA",IF(D22="",'Building Data schedule'!$C$14,D22))</f>
        <v>NA</v>
      </c>
      <c r="F22" s="328"/>
      <c r="G22" s="773" t="str">
        <f t="shared" si="4"/>
        <v/>
      </c>
      <c r="H22" s="878" t="str">
        <f t="shared" si="5"/>
        <v/>
      </c>
      <c r="I22" s="772">
        <v>10</v>
      </c>
      <c r="J22" s="773">
        <f t="shared" si="6"/>
        <v>0</v>
      </c>
      <c r="K22" s="771" t="str">
        <f t="shared" si="3"/>
        <v/>
      </c>
    </row>
    <row r="23" spans="2:12" x14ac:dyDescent="0.25">
      <c r="B23" s="67" t="s">
        <v>181</v>
      </c>
      <c r="C23" s="328"/>
      <c r="D23" s="328"/>
      <c r="E23" s="769" t="str">
        <f>IF(C23="","NA",IF(D23="",'Building Data schedule'!$C$14,D23))</f>
        <v>NA</v>
      </c>
      <c r="F23" s="328"/>
      <c r="G23" s="773" t="str">
        <f t="shared" si="4"/>
        <v/>
      </c>
      <c r="H23" s="878" t="str">
        <f t="shared" si="5"/>
        <v/>
      </c>
      <c r="I23" s="772">
        <v>10</v>
      </c>
      <c r="J23" s="773">
        <f t="shared" si="6"/>
        <v>0</v>
      </c>
      <c r="K23" s="771" t="str">
        <f t="shared" si="3"/>
        <v/>
      </c>
    </row>
    <row r="24" spans="2:12" x14ac:dyDescent="0.25">
      <c r="B24" s="67" t="s">
        <v>182</v>
      </c>
      <c r="C24" s="328"/>
      <c r="D24" s="328"/>
      <c r="E24" s="769" t="str">
        <f>IF(C24="","NA",IF(D24="",'Building Data schedule'!$C$14,D24))</f>
        <v>NA</v>
      </c>
      <c r="F24" s="328"/>
      <c r="G24" s="773" t="str">
        <f t="shared" si="4"/>
        <v/>
      </c>
      <c r="H24" s="878" t="str">
        <f t="shared" si="5"/>
        <v/>
      </c>
      <c r="I24" s="772">
        <v>10</v>
      </c>
      <c r="J24" s="773">
        <f t="shared" si="6"/>
        <v>0</v>
      </c>
      <c r="K24" s="771" t="str">
        <f t="shared" si="3"/>
        <v/>
      </c>
    </row>
    <row r="25" spans="2:12" x14ac:dyDescent="0.25">
      <c r="B25" s="67" t="s">
        <v>183</v>
      </c>
      <c r="C25" s="328"/>
      <c r="D25" s="328"/>
      <c r="E25" s="769" t="str">
        <f>IF(C25="","NA",IF(D25="",'Building Data schedule'!$C$14,D25))</f>
        <v>NA</v>
      </c>
      <c r="F25" s="328"/>
      <c r="G25" s="773" t="str">
        <f t="shared" si="4"/>
        <v/>
      </c>
      <c r="H25" s="878" t="str">
        <f t="shared" si="5"/>
        <v/>
      </c>
      <c r="I25" s="772">
        <v>16</v>
      </c>
      <c r="J25" s="773">
        <f t="shared" si="6"/>
        <v>0</v>
      </c>
      <c r="K25" s="771" t="str">
        <f t="shared" si="3"/>
        <v/>
      </c>
    </row>
    <row r="26" spans="2:12" x14ac:dyDescent="0.25">
      <c r="B26" s="67" t="s">
        <v>184</v>
      </c>
      <c r="C26" s="328"/>
      <c r="D26" s="328"/>
      <c r="E26" s="769" t="str">
        <f>IF(C26="","NA",IF(D26="",'Building Data schedule'!$C$14,D26))</f>
        <v>NA</v>
      </c>
      <c r="F26" s="328"/>
      <c r="G26" s="773" t="str">
        <f t="shared" si="4"/>
        <v/>
      </c>
      <c r="H26" s="878" t="str">
        <f t="shared" si="5"/>
        <v/>
      </c>
      <c r="I26" s="772">
        <v>16</v>
      </c>
      <c r="J26" s="773">
        <f>IFERROR(C26*I26,"")</f>
        <v>0</v>
      </c>
      <c r="K26" s="771" t="str">
        <f t="shared" si="3"/>
        <v/>
      </c>
    </row>
    <row r="27" spans="2:12" x14ac:dyDescent="0.25">
      <c r="B27" s="67" t="s">
        <v>221</v>
      </c>
      <c r="C27" s="328"/>
      <c r="D27" s="328"/>
      <c r="E27" s="769" t="str">
        <f>IF(C27="","NA",IF(D27="",'Building Data schedule'!$C$14,D27))</f>
        <v>NA</v>
      </c>
      <c r="F27" s="328"/>
      <c r="G27" s="773" t="str">
        <f t="shared" si="4"/>
        <v/>
      </c>
      <c r="H27" s="878" t="str">
        <f t="shared" si="5"/>
        <v/>
      </c>
      <c r="I27" s="772">
        <v>15</v>
      </c>
      <c r="J27" s="773">
        <f t="shared" si="6"/>
        <v>0</v>
      </c>
      <c r="K27" s="771" t="str">
        <f t="shared" si="3"/>
        <v/>
      </c>
      <c r="L27" s="142" t="s">
        <v>226</v>
      </c>
    </row>
    <row r="28" spans="2:12" x14ac:dyDescent="0.25">
      <c r="B28" s="67" t="s">
        <v>222</v>
      </c>
      <c r="C28" s="328"/>
      <c r="D28" s="328"/>
      <c r="E28" s="769" t="str">
        <f>IF(C28="","NA",IF(D28="",'Building Data schedule'!$C$14,D28))</f>
        <v>NA</v>
      </c>
      <c r="F28" s="328"/>
      <c r="G28" s="773" t="str">
        <f t="shared" si="4"/>
        <v/>
      </c>
      <c r="H28" s="878" t="str">
        <f t="shared" si="5"/>
        <v/>
      </c>
      <c r="I28" s="772">
        <v>35</v>
      </c>
      <c r="J28" s="773">
        <f t="shared" si="6"/>
        <v>0</v>
      </c>
      <c r="K28" s="771" t="str">
        <f t="shared" si="3"/>
        <v/>
      </c>
      <c r="L28" s="142" t="s">
        <v>225</v>
      </c>
    </row>
    <row r="29" spans="2:12" ht="45" x14ac:dyDescent="0.25">
      <c r="B29" s="67" t="s">
        <v>223</v>
      </c>
      <c r="C29" s="328"/>
      <c r="D29" s="328"/>
      <c r="E29" s="769" t="str">
        <f>IF(C29="","NA",IF(D29="",'Building Data schedule'!$C$14,D29))</f>
        <v>NA</v>
      </c>
      <c r="F29" s="328"/>
      <c r="G29" s="773" t="str">
        <f t="shared" si="4"/>
        <v/>
      </c>
      <c r="H29" s="878" t="str">
        <f t="shared" si="5"/>
        <v/>
      </c>
      <c r="I29" s="772">
        <v>25</v>
      </c>
      <c r="J29" s="773">
        <f t="shared" si="6"/>
        <v>0</v>
      </c>
      <c r="K29" s="771" t="str">
        <f t="shared" si="3"/>
        <v/>
      </c>
      <c r="L29" s="142" t="s">
        <v>225</v>
      </c>
    </row>
    <row r="30" spans="2:12" ht="60.75" thickBot="1" x14ac:dyDescent="0.3">
      <c r="B30" s="862" t="s">
        <v>224</v>
      </c>
      <c r="C30" s="331"/>
      <c r="D30" s="331"/>
      <c r="E30" s="856" t="str">
        <f>IF(C30="","NA",IF(D30="",'Building Data schedule'!$C$14,D30))</f>
        <v>NA</v>
      </c>
      <c r="F30" s="331"/>
      <c r="G30" s="864" t="str">
        <f t="shared" si="4"/>
        <v/>
      </c>
      <c r="H30" s="878" t="str">
        <f t="shared" si="5"/>
        <v/>
      </c>
      <c r="I30" s="863">
        <v>20</v>
      </c>
      <c r="J30" s="864">
        <f t="shared" si="6"/>
        <v>0</v>
      </c>
      <c r="K30" s="771" t="str">
        <f t="shared" si="3"/>
        <v/>
      </c>
      <c r="L30" s="142" t="s">
        <v>225</v>
      </c>
    </row>
    <row r="31" spans="2:12" ht="15.75" customHeight="1" thickBot="1" x14ac:dyDescent="0.3">
      <c r="B31" s="1043" t="s">
        <v>227</v>
      </c>
      <c r="C31" s="1044"/>
      <c r="D31" s="1044"/>
      <c r="E31" s="1044"/>
      <c r="F31" s="1044"/>
      <c r="G31" s="1044"/>
      <c r="H31" s="1044"/>
      <c r="I31" s="1044"/>
      <c r="J31" s="1044"/>
      <c r="K31" s="1045"/>
    </row>
    <row r="32" spans="2:12" ht="30" x14ac:dyDescent="0.25">
      <c r="B32" s="116" t="s">
        <v>229</v>
      </c>
      <c r="C32" s="327"/>
      <c r="D32" s="327"/>
      <c r="E32" s="769" t="str">
        <f>IF(C32="","NA",IF(D32="",'Building Data schedule'!$C$14,D32))</f>
        <v>NA</v>
      </c>
      <c r="F32" s="327"/>
      <c r="G32" s="769" t="str">
        <f t="shared" si="4"/>
        <v/>
      </c>
      <c r="H32" s="878" t="str">
        <f>IFERROR(F32*52*E32,"")</f>
        <v/>
      </c>
      <c r="I32" s="770">
        <v>10</v>
      </c>
      <c r="J32" s="769">
        <f t="shared" si="6"/>
        <v>0</v>
      </c>
      <c r="K32" s="771" t="str">
        <f t="shared" si="3"/>
        <v/>
      </c>
      <c r="L32" s="142" t="s">
        <v>230</v>
      </c>
    </row>
    <row r="33" spans="2:12" x14ac:dyDescent="0.25">
      <c r="B33" s="67" t="s">
        <v>228</v>
      </c>
      <c r="C33" s="328"/>
      <c r="D33" s="328"/>
      <c r="E33" s="769" t="str">
        <f>IF(C33="","NA",IF(D33="",'Building Data schedule'!$C$14,D33))</f>
        <v>NA</v>
      </c>
      <c r="F33" s="328"/>
      <c r="G33" s="773" t="str">
        <f t="shared" si="4"/>
        <v/>
      </c>
      <c r="H33" s="878" t="str">
        <f t="shared" ref="H33:H36" si="7">IFERROR(F33*52*E33,"")</f>
        <v/>
      </c>
      <c r="I33" s="772">
        <v>10</v>
      </c>
      <c r="J33" s="773">
        <f t="shared" si="6"/>
        <v>0</v>
      </c>
      <c r="K33" s="771" t="str">
        <f t="shared" si="3"/>
        <v/>
      </c>
      <c r="L33" s="142" t="s">
        <v>230</v>
      </c>
    </row>
    <row r="34" spans="2:12" x14ac:dyDescent="0.25">
      <c r="B34" s="67" t="s">
        <v>231</v>
      </c>
      <c r="C34" s="328"/>
      <c r="D34" s="328"/>
      <c r="E34" s="769" t="str">
        <f>IF(C34="","NA",IF(D34="",'Building Data schedule'!$C$14,D34))</f>
        <v>NA</v>
      </c>
      <c r="F34" s="328"/>
      <c r="G34" s="773" t="str">
        <f t="shared" si="4"/>
        <v/>
      </c>
      <c r="H34" s="878" t="str">
        <f t="shared" si="7"/>
        <v/>
      </c>
      <c r="I34" s="772">
        <v>12</v>
      </c>
      <c r="J34" s="773">
        <f t="shared" si="6"/>
        <v>0</v>
      </c>
      <c r="K34" s="771" t="str">
        <f t="shared" si="3"/>
        <v/>
      </c>
      <c r="L34" s="142" t="s">
        <v>234</v>
      </c>
    </row>
    <row r="35" spans="2:12" x14ac:dyDescent="0.25">
      <c r="B35" s="67" t="s">
        <v>232</v>
      </c>
      <c r="C35" s="328"/>
      <c r="D35" s="328"/>
      <c r="E35" s="769" t="str">
        <f>IF(C35="","NA",IF(D35="",'Building Data schedule'!$C$14,D35))</f>
        <v>NA</v>
      </c>
      <c r="F35" s="328"/>
      <c r="G35" s="773" t="str">
        <f t="shared" si="4"/>
        <v/>
      </c>
      <c r="H35" s="878" t="str">
        <f t="shared" si="7"/>
        <v/>
      </c>
      <c r="I35" s="772">
        <v>12</v>
      </c>
      <c r="J35" s="773">
        <f t="shared" si="6"/>
        <v>0</v>
      </c>
      <c r="K35" s="771" t="str">
        <f t="shared" si="3"/>
        <v/>
      </c>
      <c r="L35" s="142" t="s">
        <v>234</v>
      </c>
    </row>
    <row r="36" spans="2:12" ht="15.75" thickBot="1" x14ac:dyDescent="0.3">
      <c r="B36" s="862" t="s">
        <v>233</v>
      </c>
      <c r="C36" s="331"/>
      <c r="D36" s="331"/>
      <c r="E36" s="769" t="str">
        <f>IF(C36="","NA",IF(D36="",'Building Data schedule'!$C$14,D36))</f>
        <v>NA</v>
      </c>
      <c r="F36" s="331"/>
      <c r="G36" s="864" t="str">
        <f t="shared" si="4"/>
        <v/>
      </c>
      <c r="H36" s="878" t="str">
        <f t="shared" si="7"/>
        <v/>
      </c>
      <c r="I36" s="863">
        <v>12</v>
      </c>
      <c r="J36" s="864">
        <f t="shared" si="6"/>
        <v>0</v>
      </c>
      <c r="K36" s="771" t="str">
        <f t="shared" si="3"/>
        <v/>
      </c>
      <c r="L36" s="142" t="s">
        <v>234</v>
      </c>
    </row>
    <row r="37" spans="2:12" ht="15.75" thickBot="1" x14ac:dyDescent="0.3">
      <c r="B37" s="1043" t="s">
        <v>237</v>
      </c>
      <c r="C37" s="1044"/>
      <c r="D37" s="1044"/>
      <c r="E37" s="1044"/>
      <c r="F37" s="1044"/>
      <c r="G37" s="1044"/>
      <c r="H37" s="1044"/>
      <c r="I37" s="1044"/>
      <c r="J37" s="1044"/>
      <c r="K37" s="1045"/>
      <c r="L37" s="142"/>
    </row>
    <row r="38" spans="2:12" x14ac:dyDescent="0.25">
      <c r="B38" s="876" t="str">
        <f>'Building Data schedule'!B25</f>
        <v xml:space="preserve">Corridors </v>
      </c>
      <c r="C38" s="873" t="str">
        <f>IF('Building Data schedule'!C25="","",'Building Data schedule'!C25)</f>
        <v/>
      </c>
      <c r="D38" s="331"/>
      <c r="E38" s="769" t="str">
        <f>IF(C38="","NA",IF(D38="",'Building Data schedule'!$C$14,D38))</f>
        <v>NA</v>
      </c>
      <c r="F38" s="327"/>
      <c r="G38" s="769" t="str">
        <f t="shared" si="4"/>
        <v/>
      </c>
      <c r="H38" s="878" t="str">
        <f>IFERROR(F38*52*E38,"")</f>
        <v/>
      </c>
      <c r="I38" s="877">
        <v>7</v>
      </c>
      <c r="J38" s="769" t="str">
        <f t="shared" si="6"/>
        <v/>
      </c>
      <c r="K38" s="771" t="str">
        <f t="shared" si="3"/>
        <v/>
      </c>
    </row>
    <row r="39" spans="2:12" x14ac:dyDescent="0.25">
      <c r="B39" s="67" t="s">
        <v>238</v>
      </c>
      <c r="C39" s="541" t="str">
        <f>IF('Building Data schedule'!C24="","",'Building Data schedule'!C24)</f>
        <v/>
      </c>
      <c r="D39" s="331"/>
      <c r="E39" s="769" t="str">
        <f>IF(C39="","NA",IF(D39="",'Building Data schedule'!$C$14,D39))</f>
        <v>NA</v>
      </c>
      <c r="F39" s="328"/>
      <c r="G39" s="773" t="str">
        <f t="shared" si="4"/>
        <v/>
      </c>
      <c r="H39" s="878" t="str">
        <f t="shared" ref="H39:H42" si="8">IFERROR(F39*52*E39,"")</f>
        <v/>
      </c>
      <c r="I39" s="774">
        <v>6</v>
      </c>
      <c r="J39" s="773" t="str">
        <f t="shared" si="6"/>
        <v/>
      </c>
      <c r="K39" s="771" t="str">
        <f t="shared" si="3"/>
        <v/>
      </c>
    </row>
    <row r="40" spans="2:12" x14ac:dyDescent="0.25">
      <c r="B40" s="67" t="s">
        <v>239</v>
      </c>
      <c r="C40" s="542" t="str">
        <f>IF('Building Data schedule'!C27="","",'Building Data schedule'!C27)</f>
        <v/>
      </c>
      <c r="D40" s="331"/>
      <c r="E40" s="769" t="str">
        <f>IF(C40="","NA",IF(D40="",'Building Data schedule'!$C$14,D40))</f>
        <v>NA</v>
      </c>
      <c r="F40" s="328"/>
      <c r="G40" s="773" t="str">
        <f t="shared" si="4"/>
        <v/>
      </c>
      <c r="H40" s="878" t="str">
        <f t="shared" si="8"/>
        <v/>
      </c>
      <c r="I40" s="774">
        <v>7</v>
      </c>
      <c r="J40" s="773" t="str">
        <f t="shared" si="6"/>
        <v/>
      </c>
      <c r="K40" s="771" t="str">
        <f t="shared" si="3"/>
        <v/>
      </c>
    </row>
    <row r="41" spans="2:12" x14ac:dyDescent="0.25">
      <c r="B41" s="67" t="s">
        <v>240</v>
      </c>
      <c r="C41" s="328"/>
      <c r="D41" s="331"/>
      <c r="E41" s="769" t="str">
        <f>IF(C41="","NA",IF(D41="",'Building Data schedule'!$C$14,D41))</f>
        <v>NA</v>
      </c>
      <c r="F41" s="328"/>
      <c r="G41" s="773" t="str">
        <f t="shared" si="4"/>
        <v/>
      </c>
      <c r="H41" s="878" t="str">
        <f t="shared" si="8"/>
        <v/>
      </c>
      <c r="I41" s="774">
        <v>7</v>
      </c>
      <c r="J41" s="773">
        <f t="shared" si="6"/>
        <v>0</v>
      </c>
      <c r="K41" s="771" t="str">
        <f t="shared" si="3"/>
        <v/>
      </c>
    </row>
    <row r="42" spans="2:12" ht="15.75" thickBot="1" x14ac:dyDescent="0.3">
      <c r="B42" s="862" t="s">
        <v>241</v>
      </c>
      <c r="C42" s="331"/>
      <c r="D42" s="331"/>
      <c r="E42" s="769" t="str">
        <f>IF(C42="","NA",IF(D42="",'Building Data schedule'!$C$14,D42))</f>
        <v>NA</v>
      </c>
      <c r="F42" s="331"/>
      <c r="G42" s="864" t="str">
        <f t="shared" si="4"/>
        <v/>
      </c>
      <c r="H42" s="878" t="str">
        <f t="shared" si="8"/>
        <v/>
      </c>
      <c r="I42" s="875">
        <v>10</v>
      </c>
      <c r="J42" s="864">
        <f t="shared" si="6"/>
        <v>0</v>
      </c>
      <c r="K42" s="771" t="str">
        <f t="shared" si="3"/>
        <v/>
      </c>
    </row>
    <row r="43" spans="2:12" ht="15.75" customHeight="1" thickBot="1" x14ac:dyDescent="0.3">
      <c r="B43" s="1043" t="s">
        <v>244</v>
      </c>
      <c r="C43" s="1044"/>
      <c r="D43" s="1044"/>
      <c r="E43" s="1044"/>
      <c r="F43" s="1044"/>
      <c r="G43" s="1044"/>
      <c r="H43" s="1044"/>
      <c r="I43" s="1044"/>
      <c r="J43" s="1044"/>
      <c r="K43" s="1045"/>
    </row>
    <row r="44" spans="2:12" x14ac:dyDescent="0.25">
      <c r="B44" s="116" t="s">
        <v>245</v>
      </c>
      <c r="C44" s="327"/>
      <c r="D44" s="328"/>
      <c r="E44" s="769" t="str">
        <f>IF(C44="","NA",IF(D44="",'Building Data schedule'!$C$14,D44))</f>
        <v>NA</v>
      </c>
      <c r="F44" s="327"/>
      <c r="G44" s="769" t="str">
        <f t="shared" si="4"/>
        <v/>
      </c>
      <c r="H44" s="878" t="str">
        <f>IFERROR(F44*52*E44,"")</f>
        <v/>
      </c>
      <c r="I44" s="770">
        <v>12</v>
      </c>
      <c r="J44" s="769">
        <f t="shared" si="6"/>
        <v>0</v>
      </c>
      <c r="K44" s="771" t="str">
        <f t="shared" si="3"/>
        <v/>
      </c>
    </row>
    <row r="45" spans="2:12" x14ac:dyDescent="0.25">
      <c r="B45" s="67" t="s">
        <v>246</v>
      </c>
      <c r="C45" s="541" t="str">
        <f>IF('Building Data schedule'!C23="","",'Building Data schedule'!C23)</f>
        <v/>
      </c>
      <c r="D45" s="328"/>
      <c r="E45" s="769" t="str">
        <f>IF(C45="","NA",IF(D45="",'Building Data schedule'!$C$14,D45))</f>
        <v>NA</v>
      </c>
      <c r="F45" s="328"/>
      <c r="G45" s="773" t="str">
        <f t="shared" si="4"/>
        <v/>
      </c>
      <c r="H45" s="878" t="str">
        <f t="shared" ref="H45:H49" si="9">IFERROR(F45*52*E45,"")</f>
        <v/>
      </c>
      <c r="I45" s="772">
        <v>10</v>
      </c>
      <c r="J45" s="773" t="str">
        <f t="shared" si="6"/>
        <v/>
      </c>
      <c r="K45" s="771" t="str">
        <f t="shared" si="3"/>
        <v/>
      </c>
    </row>
    <row r="46" spans="2:12" x14ac:dyDescent="0.25">
      <c r="B46" s="67" t="s">
        <v>247</v>
      </c>
      <c r="C46" s="328"/>
      <c r="D46" s="328"/>
      <c r="E46" s="769" t="str">
        <f>IF(C46="","NA",IF(D46="",'Building Data schedule'!$C$14,D46))</f>
        <v>NA</v>
      </c>
      <c r="F46" s="328"/>
      <c r="G46" s="773" t="str">
        <f t="shared" si="4"/>
        <v/>
      </c>
      <c r="H46" s="878" t="str">
        <f t="shared" si="9"/>
        <v/>
      </c>
      <c r="I46" s="772">
        <v>10</v>
      </c>
      <c r="J46" s="773">
        <f t="shared" si="6"/>
        <v>0</v>
      </c>
      <c r="K46" s="771" t="str">
        <f t="shared" si="3"/>
        <v/>
      </c>
    </row>
    <row r="47" spans="2:12" x14ac:dyDescent="0.25">
      <c r="B47" s="67" t="s">
        <v>248</v>
      </c>
      <c r="C47" s="328"/>
      <c r="D47" s="328"/>
      <c r="E47" s="769" t="str">
        <f>IF(C47="","NA",IF(D47="",'Building Data schedule'!$C$14,D47))</f>
        <v>NA</v>
      </c>
      <c r="F47" s="328"/>
      <c r="G47" s="773" t="str">
        <f t="shared" si="4"/>
        <v/>
      </c>
      <c r="H47" s="878" t="str">
        <f t="shared" si="9"/>
        <v/>
      </c>
      <c r="I47" s="772">
        <v>10</v>
      </c>
      <c r="J47" s="773">
        <f t="shared" si="6"/>
        <v>0</v>
      </c>
      <c r="K47" s="771" t="str">
        <f t="shared" si="3"/>
        <v/>
      </c>
    </row>
    <row r="48" spans="2:12" x14ac:dyDescent="0.25">
      <c r="B48" s="67" t="s">
        <v>249</v>
      </c>
      <c r="C48" s="328"/>
      <c r="D48" s="328"/>
      <c r="E48" s="769" t="str">
        <f>IF(C48="","NA",IF(D48="",'Building Data schedule'!$C$14,D48))</f>
        <v>NA</v>
      </c>
      <c r="F48" s="328"/>
      <c r="G48" s="773" t="str">
        <f t="shared" si="4"/>
        <v/>
      </c>
      <c r="H48" s="878" t="str">
        <f t="shared" si="9"/>
        <v/>
      </c>
      <c r="I48" s="772">
        <v>10</v>
      </c>
      <c r="J48" s="773">
        <f t="shared" si="6"/>
        <v>0</v>
      </c>
      <c r="K48" s="771" t="str">
        <f t="shared" si="3"/>
        <v/>
      </c>
    </row>
    <row r="49" spans="2:11" ht="30.75" thickBot="1" x14ac:dyDescent="0.3">
      <c r="B49" s="862" t="s">
        <v>250</v>
      </c>
      <c r="C49" s="331"/>
      <c r="D49" s="331"/>
      <c r="E49" s="769" t="str">
        <f>IF(C49="","NA",IF(D49="",'Building Data schedule'!$C$14,D49))</f>
        <v>NA</v>
      </c>
      <c r="F49" s="331"/>
      <c r="G49" s="864" t="str">
        <f t="shared" si="4"/>
        <v/>
      </c>
      <c r="H49" s="878" t="str">
        <f t="shared" si="9"/>
        <v/>
      </c>
      <c r="I49" s="863">
        <v>11</v>
      </c>
      <c r="J49" s="864">
        <f t="shared" si="6"/>
        <v>0</v>
      </c>
      <c r="K49" s="771" t="str">
        <f t="shared" si="3"/>
        <v/>
      </c>
    </row>
    <row r="50" spans="2:11" ht="15.75" customHeight="1" thickBot="1" x14ac:dyDescent="0.3">
      <c r="B50" s="1043" t="s">
        <v>251</v>
      </c>
      <c r="C50" s="1044"/>
      <c r="D50" s="1044"/>
      <c r="E50" s="1044"/>
      <c r="F50" s="1044"/>
      <c r="G50" s="1044"/>
      <c r="H50" s="1044"/>
      <c r="I50" s="1044"/>
      <c r="J50" s="1044"/>
      <c r="K50" s="1045"/>
    </row>
    <row r="51" spans="2:11" ht="30" x14ac:dyDescent="0.25">
      <c r="B51" s="116" t="s">
        <v>252</v>
      </c>
      <c r="C51" s="873" t="str">
        <f>IF('Building Data schedule'!C31="","",'Building Data schedule'!C31)</f>
        <v/>
      </c>
      <c r="D51" s="874"/>
      <c r="E51" s="769" t="str">
        <f>IF(C51="","NA",IF(D51="",'Building Data schedule'!$C$14,D51))</f>
        <v>NA</v>
      </c>
      <c r="F51" s="327"/>
      <c r="G51" s="769" t="str">
        <f t="shared" si="4"/>
        <v/>
      </c>
      <c r="H51" s="878" t="str">
        <f>IFERROR(F51*52*E51,"")</f>
        <v/>
      </c>
      <c r="I51" s="770">
        <v>10</v>
      </c>
      <c r="J51" s="769" t="str">
        <f t="shared" si="6"/>
        <v/>
      </c>
      <c r="K51" s="771" t="str">
        <f t="shared" si="3"/>
        <v/>
      </c>
    </row>
    <row r="52" spans="2:11" x14ac:dyDescent="0.25">
      <c r="B52" s="67" t="s">
        <v>253</v>
      </c>
      <c r="C52" s="328"/>
      <c r="D52" s="328"/>
      <c r="E52" s="769" t="str">
        <f>IF(C52="","NA",IF(D52="",'Building Data schedule'!$C$14,D52))</f>
        <v>NA</v>
      </c>
      <c r="F52" s="328"/>
      <c r="G52" s="773" t="str">
        <f t="shared" si="4"/>
        <v/>
      </c>
      <c r="H52" s="878" t="str">
        <f t="shared" ref="H52:H53" si="10">IFERROR(F52*52*E52,"")</f>
        <v/>
      </c>
      <c r="I52" s="772">
        <v>13</v>
      </c>
      <c r="J52" s="773">
        <f t="shared" si="6"/>
        <v>0</v>
      </c>
      <c r="K52" s="771" t="str">
        <f t="shared" si="3"/>
        <v/>
      </c>
    </row>
    <row r="53" spans="2:11" ht="30.75" thickBot="1" x14ac:dyDescent="0.3">
      <c r="B53" s="862" t="s">
        <v>254</v>
      </c>
      <c r="C53" s="331"/>
      <c r="D53" s="331"/>
      <c r="E53" s="769" t="str">
        <f>IF(C53="","NA",IF(D53="",'Building Data schedule'!$C$14,D53))</f>
        <v>NA</v>
      </c>
      <c r="F53" s="331"/>
      <c r="G53" s="864" t="str">
        <f t="shared" si="4"/>
        <v/>
      </c>
      <c r="H53" s="878" t="str">
        <f t="shared" si="10"/>
        <v/>
      </c>
      <c r="I53" s="863">
        <v>14</v>
      </c>
      <c r="J53" s="864">
        <f t="shared" si="6"/>
        <v>0</v>
      </c>
      <c r="K53" s="771" t="str">
        <f t="shared" si="3"/>
        <v/>
      </c>
    </row>
    <row r="54" spans="2:11" ht="15.75" thickBot="1" x14ac:dyDescent="0.3">
      <c r="B54" s="1043" t="s">
        <v>167</v>
      </c>
      <c r="C54" s="1044"/>
      <c r="D54" s="1044"/>
      <c r="E54" s="1044"/>
      <c r="F54" s="1044"/>
      <c r="G54" s="1044"/>
      <c r="H54" s="1044"/>
      <c r="I54" s="1044"/>
      <c r="J54" s="1044"/>
      <c r="K54" s="1045"/>
    </row>
    <row r="55" spans="2:11" x14ac:dyDescent="0.25">
      <c r="B55" s="872"/>
      <c r="C55" s="327"/>
      <c r="D55" s="327"/>
      <c r="E55" s="769" t="str">
        <f>IF(C55="","NA",IF(D55="",'Building Data schedule'!$C$14,D55))</f>
        <v>NA</v>
      </c>
      <c r="F55" s="327"/>
      <c r="G55" s="769" t="str">
        <f t="shared" si="4"/>
        <v/>
      </c>
      <c r="H55" s="878" t="str">
        <f>IFERROR(F55*52*E55,"")</f>
        <v/>
      </c>
      <c r="I55" s="327"/>
      <c r="J55" s="769">
        <f t="shared" si="6"/>
        <v>0</v>
      </c>
      <c r="K55" s="771" t="str">
        <f t="shared" si="3"/>
        <v/>
      </c>
    </row>
    <row r="56" spans="2:11" x14ac:dyDescent="0.25">
      <c r="B56" s="329"/>
      <c r="C56" s="328"/>
      <c r="D56" s="328"/>
      <c r="E56" s="769" t="str">
        <f>IF(C56="","NA",IF(D56="",'Building Data schedule'!$C$14,D56))</f>
        <v>NA</v>
      </c>
      <c r="F56" s="328"/>
      <c r="G56" s="773" t="str">
        <f t="shared" si="4"/>
        <v/>
      </c>
      <c r="H56" s="878" t="str">
        <f t="shared" ref="H56:H84" si="11">IFERROR(F56*52*E56,"")</f>
        <v/>
      </c>
      <c r="I56" s="328"/>
      <c r="J56" s="773">
        <f t="shared" si="6"/>
        <v>0</v>
      </c>
      <c r="K56" s="771" t="str">
        <f t="shared" si="3"/>
        <v/>
      </c>
    </row>
    <row r="57" spans="2:11" x14ac:dyDescent="0.25">
      <c r="B57" s="329"/>
      <c r="C57" s="328"/>
      <c r="D57" s="328"/>
      <c r="E57" s="769" t="str">
        <f>IF(C57="","NA",IF(D57="",'Building Data schedule'!$C$14,D57))</f>
        <v>NA</v>
      </c>
      <c r="F57" s="328"/>
      <c r="G57" s="773" t="str">
        <f t="shared" si="4"/>
        <v/>
      </c>
      <c r="H57" s="878" t="str">
        <f t="shared" si="11"/>
        <v/>
      </c>
      <c r="I57" s="328"/>
      <c r="J57" s="773">
        <f t="shared" si="6"/>
        <v>0</v>
      </c>
      <c r="K57" s="771" t="str">
        <f t="shared" si="3"/>
        <v/>
      </c>
    </row>
    <row r="58" spans="2:11" x14ac:dyDescent="0.25">
      <c r="B58" s="329"/>
      <c r="C58" s="328"/>
      <c r="D58" s="328"/>
      <c r="E58" s="769" t="str">
        <f>IF(C58="","NA",IF(D58="",'Building Data schedule'!$C$14,D58))</f>
        <v>NA</v>
      </c>
      <c r="F58" s="328"/>
      <c r="G58" s="773" t="str">
        <f t="shared" si="4"/>
        <v/>
      </c>
      <c r="H58" s="878" t="str">
        <f t="shared" si="11"/>
        <v/>
      </c>
      <c r="I58" s="328"/>
      <c r="J58" s="773">
        <f t="shared" si="6"/>
        <v>0</v>
      </c>
      <c r="K58" s="771" t="str">
        <f t="shared" si="3"/>
        <v/>
      </c>
    </row>
    <row r="59" spans="2:11" x14ac:dyDescent="0.25">
      <c r="B59" s="329"/>
      <c r="C59" s="328"/>
      <c r="D59" s="328"/>
      <c r="E59" s="769" t="str">
        <f>IF(C59="","NA",IF(D59="",'Building Data schedule'!$C$14,D59))</f>
        <v>NA</v>
      </c>
      <c r="F59" s="328"/>
      <c r="G59" s="773" t="str">
        <f t="shared" si="4"/>
        <v/>
      </c>
      <c r="H59" s="878" t="str">
        <f t="shared" si="11"/>
        <v/>
      </c>
      <c r="I59" s="328"/>
      <c r="J59" s="773">
        <f t="shared" si="6"/>
        <v>0</v>
      </c>
      <c r="K59" s="771" t="str">
        <f t="shared" si="3"/>
        <v/>
      </c>
    </row>
    <row r="60" spans="2:11" x14ac:dyDescent="0.25">
      <c r="B60" s="329"/>
      <c r="C60" s="328"/>
      <c r="D60" s="328"/>
      <c r="E60" s="769" t="str">
        <f>IF(C60="","NA",IF(D60="",'Building Data schedule'!$C$14,D60))</f>
        <v>NA</v>
      </c>
      <c r="F60" s="328"/>
      <c r="G60" s="773" t="str">
        <f t="shared" si="4"/>
        <v/>
      </c>
      <c r="H60" s="878" t="str">
        <f t="shared" si="11"/>
        <v/>
      </c>
      <c r="I60" s="328"/>
      <c r="J60" s="773">
        <f t="shared" si="6"/>
        <v>0</v>
      </c>
      <c r="K60" s="771" t="str">
        <f t="shared" si="3"/>
        <v/>
      </c>
    </row>
    <row r="61" spans="2:11" x14ac:dyDescent="0.25">
      <c r="B61" s="329"/>
      <c r="C61" s="328"/>
      <c r="D61" s="328"/>
      <c r="E61" s="769" t="str">
        <f>IF(C61="","NA",IF(D61="",'Building Data schedule'!$C$14,D61))</f>
        <v>NA</v>
      </c>
      <c r="F61" s="328"/>
      <c r="G61" s="773" t="str">
        <f t="shared" si="4"/>
        <v/>
      </c>
      <c r="H61" s="878" t="str">
        <f t="shared" si="11"/>
        <v/>
      </c>
      <c r="I61" s="328"/>
      <c r="J61" s="773">
        <f t="shared" si="6"/>
        <v>0</v>
      </c>
      <c r="K61" s="771" t="str">
        <f t="shared" si="3"/>
        <v/>
      </c>
    </row>
    <row r="62" spans="2:11" x14ac:dyDescent="0.25">
      <c r="B62" s="329"/>
      <c r="C62" s="328"/>
      <c r="D62" s="328"/>
      <c r="E62" s="769" t="str">
        <f>IF(C62="","NA",IF(D62="",'Building Data schedule'!$C$14,D62))</f>
        <v>NA</v>
      </c>
      <c r="F62" s="328"/>
      <c r="G62" s="773" t="str">
        <f t="shared" si="4"/>
        <v/>
      </c>
      <c r="H62" s="878" t="str">
        <f t="shared" si="11"/>
        <v/>
      </c>
      <c r="I62" s="328"/>
      <c r="J62" s="773">
        <f t="shared" si="6"/>
        <v>0</v>
      </c>
      <c r="K62" s="771" t="str">
        <f t="shared" si="3"/>
        <v/>
      </c>
    </row>
    <row r="63" spans="2:11" x14ac:dyDescent="0.25">
      <c r="B63" s="329"/>
      <c r="C63" s="328"/>
      <c r="D63" s="328"/>
      <c r="E63" s="769" t="str">
        <f>IF(C63="","NA",IF(D63="",'Building Data schedule'!$C$14,D63))</f>
        <v>NA</v>
      </c>
      <c r="F63" s="328"/>
      <c r="G63" s="773" t="str">
        <f t="shared" si="4"/>
        <v/>
      </c>
      <c r="H63" s="878" t="str">
        <f t="shared" si="11"/>
        <v/>
      </c>
      <c r="I63" s="328"/>
      <c r="J63" s="773">
        <f t="shared" si="6"/>
        <v>0</v>
      </c>
      <c r="K63" s="771" t="str">
        <f t="shared" si="3"/>
        <v/>
      </c>
    </row>
    <row r="64" spans="2:11" x14ac:dyDescent="0.25">
      <c r="B64" s="329"/>
      <c r="C64" s="328"/>
      <c r="D64" s="328"/>
      <c r="E64" s="769" t="str">
        <f>IF(C64="","NA",IF(D64="",'Building Data schedule'!$C$14,D64))</f>
        <v>NA</v>
      </c>
      <c r="F64" s="328"/>
      <c r="G64" s="773" t="str">
        <f t="shared" si="4"/>
        <v/>
      </c>
      <c r="H64" s="878" t="str">
        <f t="shared" si="11"/>
        <v/>
      </c>
      <c r="I64" s="328"/>
      <c r="J64" s="773">
        <f t="shared" si="6"/>
        <v>0</v>
      </c>
      <c r="K64" s="771" t="str">
        <f t="shared" si="3"/>
        <v/>
      </c>
    </row>
    <row r="65" spans="2:11" x14ac:dyDescent="0.25">
      <c r="B65" s="329"/>
      <c r="C65" s="328"/>
      <c r="D65" s="328"/>
      <c r="E65" s="769" t="str">
        <f>IF(C65="","NA",IF(D65="",'Building Data schedule'!$C$14,D65))</f>
        <v>NA</v>
      </c>
      <c r="F65" s="328"/>
      <c r="G65" s="773" t="str">
        <f t="shared" si="4"/>
        <v/>
      </c>
      <c r="H65" s="878" t="str">
        <f t="shared" si="11"/>
        <v/>
      </c>
      <c r="I65" s="328"/>
      <c r="J65" s="773">
        <f t="shared" si="6"/>
        <v>0</v>
      </c>
      <c r="K65" s="771" t="str">
        <f t="shared" si="3"/>
        <v/>
      </c>
    </row>
    <row r="66" spans="2:11" x14ac:dyDescent="0.25">
      <c r="B66" s="329"/>
      <c r="C66" s="328"/>
      <c r="D66" s="328"/>
      <c r="E66" s="769" t="str">
        <f>IF(C66="","NA",IF(D66="",'Building Data schedule'!$C$14,D66))</f>
        <v>NA</v>
      </c>
      <c r="F66" s="328"/>
      <c r="G66" s="773" t="str">
        <f t="shared" si="4"/>
        <v/>
      </c>
      <c r="H66" s="878" t="str">
        <f t="shared" si="11"/>
        <v/>
      </c>
      <c r="I66" s="328"/>
      <c r="J66" s="773">
        <f t="shared" si="6"/>
        <v>0</v>
      </c>
      <c r="K66" s="771" t="str">
        <f t="shared" si="3"/>
        <v/>
      </c>
    </row>
    <row r="67" spans="2:11" x14ac:dyDescent="0.25">
      <c r="B67" s="329"/>
      <c r="C67" s="328"/>
      <c r="D67" s="328"/>
      <c r="E67" s="769" t="str">
        <f>IF(C67="","NA",IF(D67="",'Building Data schedule'!$C$14,D67))</f>
        <v>NA</v>
      </c>
      <c r="F67" s="328"/>
      <c r="G67" s="773" t="str">
        <f t="shared" si="4"/>
        <v/>
      </c>
      <c r="H67" s="878" t="str">
        <f t="shared" si="11"/>
        <v/>
      </c>
      <c r="I67" s="328"/>
      <c r="J67" s="773">
        <f t="shared" si="6"/>
        <v>0</v>
      </c>
      <c r="K67" s="771" t="str">
        <f t="shared" si="3"/>
        <v/>
      </c>
    </row>
    <row r="68" spans="2:11" x14ac:dyDescent="0.25">
      <c r="B68" s="329"/>
      <c r="C68" s="328"/>
      <c r="D68" s="328"/>
      <c r="E68" s="769" t="str">
        <f>IF(C68="","NA",IF(D68="",'Building Data schedule'!$C$14,D68))</f>
        <v>NA</v>
      </c>
      <c r="F68" s="328"/>
      <c r="G68" s="773" t="str">
        <f t="shared" si="4"/>
        <v/>
      </c>
      <c r="H68" s="878" t="str">
        <f t="shared" si="11"/>
        <v/>
      </c>
      <c r="I68" s="328"/>
      <c r="J68" s="773">
        <f t="shared" si="6"/>
        <v>0</v>
      </c>
      <c r="K68" s="771" t="str">
        <f t="shared" si="3"/>
        <v/>
      </c>
    </row>
    <row r="69" spans="2:11" x14ac:dyDescent="0.25">
      <c r="B69" s="329"/>
      <c r="C69" s="328"/>
      <c r="D69" s="328"/>
      <c r="E69" s="769" t="str">
        <f>IF(C69="","NA",IF(D69="",'Building Data schedule'!$C$14,D69))</f>
        <v>NA</v>
      </c>
      <c r="F69" s="328"/>
      <c r="G69" s="773" t="str">
        <f t="shared" si="4"/>
        <v/>
      </c>
      <c r="H69" s="878" t="str">
        <f t="shared" si="11"/>
        <v/>
      </c>
      <c r="I69" s="328"/>
      <c r="J69" s="773">
        <f t="shared" si="6"/>
        <v>0</v>
      </c>
      <c r="K69" s="771" t="str">
        <f t="shared" si="3"/>
        <v/>
      </c>
    </row>
    <row r="70" spans="2:11" x14ac:dyDescent="0.25">
      <c r="B70" s="329"/>
      <c r="C70" s="328"/>
      <c r="D70" s="328"/>
      <c r="E70" s="769" t="str">
        <f>IF(C70="","NA",IF(D70="",'Building Data schedule'!$C$14,D70))</f>
        <v>NA</v>
      </c>
      <c r="F70" s="328"/>
      <c r="G70" s="773" t="str">
        <f t="shared" si="4"/>
        <v/>
      </c>
      <c r="H70" s="878" t="str">
        <f t="shared" si="11"/>
        <v/>
      </c>
      <c r="I70" s="328"/>
      <c r="J70" s="773">
        <f t="shared" si="6"/>
        <v>0</v>
      </c>
      <c r="K70" s="771" t="str">
        <f t="shared" si="3"/>
        <v/>
      </c>
    </row>
    <row r="71" spans="2:11" x14ac:dyDescent="0.25">
      <c r="B71" s="329"/>
      <c r="C71" s="328"/>
      <c r="D71" s="328"/>
      <c r="E71" s="769" t="str">
        <f>IF(C71="","NA",IF(D71="",'Building Data schedule'!$C$14,D71))</f>
        <v>NA</v>
      </c>
      <c r="F71" s="328"/>
      <c r="G71" s="773" t="str">
        <f t="shared" si="4"/>
        <v/>
      </c>
      <c r="H71" s="878" t="str">
        <f t="shared" si="11"/>
        <v/>
      </c>
      <c r="I71" s="328"/>
      <c r="J71" s="773">
        <f t="shared" si="6"/>
        <v>0</v>
      </c>
      <c r="K71" s="771" t="str">
        <f t="shared" si="3"/>
        <v/>
      </c>
    </row>
    <row r="72" spans="2:11" x14ac:dyDescent="0.25">
      <c r="B72" s="329"/>
      <c r="C72" s="328"/>
      <c r="D72" s="328"/>
      <c r="E72" s="769" t="str">
        <f>IF(C72="","NA",IF(D72="",'Building Data schedule'!$C$14,D72))</f>
        <v>NA</v>
      </c>
      <c r="F72" s="328"/>
      <c r="G72" s="773" t="str">
        <f t="shared" si="4"/>
        <v/>
      </c>
      <c r="H72" s="878" t="str">
        <f t="shared" si="11"/>
        <v/>
      </c>
      <c r="I72" s="328"/>
      <c r="J72" s="773">
        <f t="shared" si="6"/>
        <v>0</v>
      </c>
      <c r="K72" s="771" t="str">
        <f t="shared" si="3"/>
        <v/>
      </c>
    </row>
    <row r="73" spans="2:11" x14ac:dyDescent="0.25">
      <c r="B73" s="329"/>
      <c r="C73" s="328"/>
      <c r="D73" s="328"/>
      <c r="E73" s="769" t="str">
        <f>IF(C73="","NA",IF(D73="",'Building Data schedule'!$C$14,D73))</f>
        <v>NA</v>
      </c>
      <c r="F73" s="328"/>
      <c r="G73" s="773" t="str">
        <f t="shared" si="4"/>
        <v/>
      </c>
      <c r="H73" s="878" t="str">
        <f t="shared" si="11"/>
        <v/>
      </c>
      <c r="I73" s="328"/>
      <c r="J73" s="773">
        <f t="shared" si="6"/>
        <v>0</v>
      </c>
      <c r="K73" s="771" t="str">
        <f t="shared" ref="K73:K84" si="12">IFERROR(J73*52*E73,"")</f>
        <v/>
      </c>
    </row>
    <row r="74" spans="2:11" x14ac:dyDescent="0.25">
      <c r="B74" s="329"/>
      <c r="C74" s="328"/>
      <c r="D74" s="328"/>
      <c r="E74" s="769" t="str">
        <f>IF(C74="","NA",IF(D74="",'Building Data schedule'!$C$14,D74))</f>
        <v>NA</v>
      </c>
      <c r="F74" s="328"/>
      <c r="G74" s="773" t="str">
        <f t="shared" si="4"/>
        <v/>
      </c>
      <c r="H74" s="878" t="str">
        <f t="shared" si="11"/>
        <v/>
      </c>
      <c r="I74" s="328"/>
      <c r="J74" s="773">
        <f t="shared" si="6"/>
        <v>0</v>
      </c>
      <c r="K74" s="771" t="str">
        <f t="shared" si="12"/>
        <v/>
      </c>
    </row>
    <row r="75" spans="2:11" x14ac:dyDescent="0.25">
      <c r="B75" s="329"/>
      <c r="C75" s="328"/>
      <c r="D75" s="328"/>
      <c r="E75" s="769" t="str">
        <f>IF(C75="","NA",IF(D75="",'Building Data schedule'!$C$14,D75))</f>
        <v>NA</v>
      </c>
      <c r="F75" s="328"/>
      <c r="G75" s="773" t="str">
        <f t="shared" si="4"/>
        <v/>
      </c>
      <c r="H75" s="878" t="str">
        <f t="shared" si="11"/>
        <v/>
      </c>
      <c r="I75" s="328"/>
      <c r="J75" s="773">
        <f t="shared" si="6"/>
        <v>0</v>
      </c>
      <c r="K75" s="771" t="str">
        <f t="shared" si="12"/>
        <v/>
      </c>
    </row>
    <row r="76" spans="2:11" x14ac:dyDescent="0.25">
      <c r="B76" s="329"/>
      <c r="C76" s="328"/>
      <c r="D76" s="328"/>
      <c r="E76" s="769" t="str">
        <f>IF(C76="","NA",IF(D76="",'Building Data schedule'!$C$14,D76))</f>
        <v>NA</v>
      </c>
      <c r="F76" s="328"/>
      <c r="G76" s="773" t="str">
        <f t="shared" si="4"/>
        <v/>
      </c>
      <c r="H76" s="878" t="str">
        <f t="shared" si="11"/>
        <v/>
      </c>
      <c r="I76" s="328"/>
      <c r="J76" s="773">
        <f t="shared" si="6"/>
        <v>0</v>
      </c>
      <c r="K76" s="771" t="str">
        <f t="shared" si="12"/>
        <v/>
      </c>
    </row>
    <row r="77" spans="2:11" x14ac:dyDescent="0.25">
      <c r="B77" s="329"/>
      <c r="C77" s="328"/>
      <c r="D77" s="328"/>
      <c r="E77" s="769" t="str">
        <f>IF(C77="","NA",IF(D77="",'Building Data schedule'!$C$14,D77))</f>
        <v>NA</v>
      </c>
      <c r="F77" s="328"/>
      <c r="G77" s="773" t="str">
        <f t="shared" si="4"/>
        <v/>
      </c>
      <c r="H77" s="878" t="str">
        <f t="shared" si="11"/>
        <v/>
      </c>
      <c r="I77" s="328"/>
      <c r="J77" s="773">
        <f t="shared" si="6"/>
        <v>0</v>
      </c>
      <c r="K77" s="771" t="str">
        <f t="shared" si="12"/>
        <v/>
      </c>
    </row>
    <row r="78" spans="2:11" x14ac:dyDescent="0.25">
      <c r="B78" s="329"/>
      <c r="C78" s="328"/>
      <c r="D78" s="328"/>
      <c r="E78" s="769" t="str">
        <f>IF(C78="","NA",IF(D78="",'Building Data schedule'!$C$14,D78))</f>
        <v>NA</v>
      </c>
      <c r="F78" s="328"/>
      <c r="G78" s="773" t="str">
        <f t="shared" si="4"/>
        <v/>
      </c>
      <c r="H78" s="878" t="str">
        <f t="shared" si="11"/>
        <v/>
      </c>
      <c r="I78" s="328"/>
      <c r="J78" s="773">
        <f t="shared" si="6"/>
        <v>0</v>
      </c>
      <c r="K78" s="771" t="str">
        <f t="shared" si="12"/>
        <v/>
      </c>
    </row>
    <row r="79" spans="2:11" x14ac:dyDescent="0.25">
      <c r="B79" s="329"/>
      <c r="C79" s="328"/>
      <c r="D79" s="328"/>
      <c r="E79" s="769" t="str">
        <f>IF(C79="","NA",IF(D79="",'Building Data schedule'!$C$14,D79))</f>
        <v>NA</v>
      </c>
      <c r="F79" s="328"/>
      <c r="G79" s="773" t="str">
        <f t="shared" si="4"/>
        <v/>
      </c>
      <c r="H79" s="878" t="str">
        <f t="shared" si="11"/>
        <v/>
      </c>
      <c r="I79" s="328"/>
      <c r="J79" s="773">
        <f t="shared" si="6"/>
        <v>0</v>
      </c>
      <c r="K79" s="771" t="str">
        <f t="shared" si="12"/>
        <v/>
      </c>
    </row>
    <row r="80" spans="2:11" x14ac:dyDescent="0.25">
      <c r="B80" s="329"/>
      <c r="C80" s="328"/>
      <c r="D80" s="328"/>
      <c r="E80" s="769" t="str">
        <f>IF(C80="","NA",IF(D80="",'Building Data schedule'!$C$14,D80))</f>
        <v>NA</v>
      </c>
      <c r="F80" s="328"/>
      <c r="G80" s="773" t="str">
        <f t="shared" si="4"/>
        <v/>
      </c>
      <c r="H80" s="878" t="str">
        <f t="shared" si="11"/>
        <v/>
      </c>
      <c r="I80" s="328"/>
      <c r="J80" s="773">
        <f t="shared" si="6"/>
        <v>0</v>
      </c>
      <c r="K80" s="771" t="str">
        <f t="shared" si="12"/>
        <v/>
      </c>
    </row>
    <row r="81" spans="1:11" x14ac:dyDescent="0.25">
      <c r="B81" s="329"/>
      <c r="C81" s="328"/>
      <c r="D81" s="328"/>
      <c r="E81" s="769" t="str">
        <f>IF(C81="","NA",IF(D81="",'Building Data schedule'!$C$14,D81))</f>
        <v>NA</v>
      </c>
      <c r="F81" s="328"/>
      <c r="G81" s="773" t="str">
        <f t="shared" si="4"/>
        <v/>
      </c>
      <c r="H81" s="878" t="str">
        <f t="shared" si="11"/>
        <v/>
      </c>
      <c r="I81" s="328"/>
      <c r="J81" s="773">
        <f t="shared" si="6"/>
        <v>0</v>
      </c>
      <c r="K81" s="771" t="str">
        <f t="shared" si="12"/>
        <v/>
      </c>
    </row>
    <row r="82" spans="1:11" x14ac:dyDescent="0.25">
      <c r="B82" s="329"/>
      <c r="C82" s="328"/>
      <c r="D82" s="328"/>
      <c r="E82" s="769" t="str">
        <f>IF(C82="","NA",IF(D82="",'Building Data schedule'!$C$14,D82))</f>
        <v>NA</v>
      </c>
      <c r="F82" s="328"/>
      <c r="G82" s="773" t="str">
        <f t="shared" ref="G82:G84" si="13">IF(C82="","",F82/C82)</f>
        <v/>
      </c>
      <c r="H82" s="878" t="str">
        <f t="shared" si="11"/>
        <v/>
      </c>
      <c r="I82" s="328"/>
      <c r="J82" s="773">
        <f t="shared" ref="J82:J84" si="14">IFERROR(C82*I82,"")</f>
        <v>0</v>
      </c>
      <c r="K82" s="771" t="str">
        <f t="shared" si="12"/>
        <v/>
      </c>
    </row>
    <row r="83" spans="1:11" x14ac:dyDescent="0.25">
      <c r="B83" s="329"/>
      <c r="C83" s="328"/>
      <c r="D83" s="328"/>
      <c r="E83" s="769" t="str">
        <f>IF(C83="","NA",IF(D83="",'Building Data schedule'!$C$14,D83))</f>
        <v>NA</v>
      </c>
      <c r="F83" s="328"/>
      <c r="G83" s="773" t="str">
        <f t="shared" si="13"/>
        <v/>
      </c>
      <c r="H83" s="878" t="str">
        <f t="shared" si="11"/>
        <v/>
      </c>
      <c r="I83" s="328"/>
      <c r="J83" s="773">
        <f t="shared" si="14"/>
        <v>0</v>
      </c>
      <c r="K83" s="771" t="str">
        <f t="shared" si="12"/>
        <v/>
      </c>
    </row>
    <row r="84" spans="1:11" ht="15.75" thickBot="1" x14ac:dyDescent="0.3">
      <c r="B84" s="330"/>
      <c r="C84" s="331"/>
      <c r="D84" s="331"/>
      <c r="E84" s="769" t="str">
        <f>IF(C84="","NA",IF(D84="",'Building Data schedule'!$C$14,D84))</f>
        <v>NA</v>
      </c>
      <c r="F84" s="331"/>
      <c r="G84" s="864" t="str">
        <f t="shared" si="13"/>
        <v/>
      </c>
      <c r="H84" s="878" t="str">
        <f t="shared" si="11"/>
        <v/>
      </c>
      <c r="I84" s="331"/>
      <c r="J84" s="864">
        <f t="shared" si="14"/>
        <v>0</v>
      </c>
      <c r="K84" s="771" t="str">
        <f t="shared" si="12"/>
        <v/>
      </c>
    </row>
    <row r="85" spans="1:11" ht="15.75" thickBot="1" x14ac:dyDescent="0.3">
      <c r="B85" s="869" t="s">
        <v>19</v>
      </c>
      <c r="C85" s="870">
        <f>SUM(C8:C15)+SUM(C17:C30)+SUM(C32:C36)+SUM(C38:C42)+SUM(C44:C49)+SUM(C51:C53)+SUM(C55:C84)</f>
        <v>0</v>
      </c>
      <c r="D85" s="870"/>
      <c r="E85" s="870"/>
      <c r="F85" s="870">
        <f>SUM(F8:F15)+SUM(F17:F30)+SUM(F32:F36)+SUM(F38:F42)+SUM(F44:F49)+SUM(F51:F53)+SUM(F55:F84)</f>
        <v>0</v>
      </c>
      <c r="G85" s="871">
        <f t="shared" ref="G85" si="15">IF(C85=0,0,F85/C85)</f>
        <v>0</v>
      </c>
      <c r="H85" s="871">
        <f>SUM(H8:H84)</f>
        <v>0</v>
      </c>
      <c r="I85" s="871">
        <f>IF(C85=0,0,J85/C85)</f>
        <v>0</v>
      </c>
      <c r="J85" s="870">
        <f>SUM(J8:J15)+SUM(J17:J30)+SUM(J32:J36)+SUM(J38:J42)+SUM(J44:J49)+SUM(J51:J53)+SUM(J55:J84)</f>
        <v>0</v>
      </c>
      <c r="K85" s="871">
        <f>SUM(K8:K84)</f>
        <v>0</v>
      </c>
    </row>
    <row r="86" spans="1:11" ht="30.75" customHeight="1" thickBot="1" x14ac:dyDescent="0.3">
      <c r="B86" s="1064" t="s">
        <v>282</v>
      </c>
      <c r="C86" s="1065"/>
      <c r="D86" s="865"/>
      <c r="E86" s="865"/>
      <c r="F86" s="866">
        <f>H85/1000</f>
        <v>0</v>
      </c>
      <c r="G86" s="867"/>
      <c r="H86" s="867"/>
      <c r="I86" s="867"/>
      <c r="J86" s="866">
        <f>K85/1000</f>
        <v>0</v>
      </c>
      <c r="K86" s="868"/>
    </row>
    <row r="87" spans="1:11" ht="15.75" thickBot="1" x14ac:dyDescent="0.3"/>
    <row r="88" spans="1:11" ht="15.75" thickBot="1" x14ac:dyDescent="0.3">
      <c r="B88" s="37" t="s">
        <v>421</v>
      </c>
      <c r="C88" s="62"/>
      <c r="D88" s="853"/>
      <c r="E88" s="853"/>
      <c r="F88" s="543">
        <f>IF(J85=0,0,(J85-F85)/J85)</f>
        <v>0</v>
      </c>
    </row>
    <row r="89" spans="1:11" x14ac:dyDescent="0.25">
      <c r="B89" s="1066" t="s">
        <v>840</v>
      </c>
      <c r="C89" s="1067"/>
      <c r="D89" s="854"/>
      <c r="E89" s="854"/>
      <c r="F89" s="544">
        <f>IF((F88&gt;30%),3,(F88/10)*100)</f>
        <v>0</v>
      </c>
    </row>
    <row r="91" spans="1:11" x14ac:dyDescent="0.25">
      <c r="B91" s="2" t="s">
        <v>12</v>
      </c>
    </row>
    <row r="92" spans="1:11" x14ac:dyDescent="0.25">
      <c r="B92" s="3" t="s">
        <v>593</v>
      </c>
    </row>
    <row r="93" spans="1:11" x14ac:dyDescent="0.25">
      <c r="B93" s="3"/>
    </row>
    <row r="94" spans="1:11" s="20" customFormat="1" ht="15.75" x14ac:dyDescent="0.25">
      <c r="A94" s="20" t="s">
        <v>185</v>
      </c>
    </row>
    <row r="95" spans="1:11" s="63" customFormat="1" ht="16.5" thickBot="1" x14ac:dyDescent="0.3"/>
    <row r="96" spans="1:11" s="63" customFormat="1" ht="45" x14ac:dyDescent="0.25">
      <c r="B96" s="238" t="s">
        <v>659</v>
      </c>
      <c r="C96" s="129" t="s">
        <v>218</v>
      </c>
      <c r="D96" s="127" t="s">
        <v>646</v>
      </c>
      <c r="E96" s="239" t="s">
        <v>220</v>
      </c>
      <c r="F96" s="130" t="s">
        <v>255</v>
      </c>
      <c r="G96" s="130" t="s">
        <v>283</v>
      </c>
    </row>
    <row r="97" spans="2:11" s="63" customFormat="1" ht="15.75" x14ac:dyDescent="0.25">
      <c r="B97" s="333"/>
      <c r="C97" s="334"/>
      <c r="D97" s="335"/>
      <c r="E97" s="636" t="str">
        <f t="shared" ref="E97:E128" si="16">IFERROR(VLOOKUP(B97,$J$159:$K$169,2,FALSE),"")</f>
        <v/>
      </c>
      <c r="F97" s="546" t="str">
        <f t="shared" ref="F97:F128" si="17">IF(E97="","",C97*D97*E97)</f>
        <v/>
      </c>
      <c r="G97" s="547" t="str">
        <f>IF(E97="","",F97*52*'Building Data schedule'!$C$14/1000)</f>
        <v/>
      </c>
      <c r="K97" s="859"/>
    </row>
    <row r="98" spans="2:11" s="63" customFormat="1" ht="15.75" x14ac:dyDescent="0.25">
      <c r="B98" s="333"/>
      <c r="C98" s="334"/>
      <c r="D98" s="335"/>
      <c r="E98" s="636" t="str">
        <f t="shared" si="16"/>
        <v/>
      </c>
      <c r="F98" s="546" t="str">
        <f t="shared" si="17"/>
        <v/>
      </c>
      <c r="G98" s="547" t="str">
        <f>IF(E98="","",F98*52*'Building Data schedule'!$C$14/1000)</f>
        <v/>
      </c>
      <c r="K98" s="859"/>
    </row>
    <row r="99" spans="2:11" s="63" customFormat="1" ht="15.75" x14ac:dyDescent="0.25">
      <c r="B99" s="333"/>
      <c r="C99" s="334"/>
      <c r="D99" s="335"/>
      <c r="E99" s="636" t="str">
        <f t="shared" si="16"/>
        <v/>
      </c>
      <c r="F99" s="546" t="str">
        <f t="shared" si="17"/>
        <v/>
      </c>
      <c r="G99" s="547" t="str">
        <f>IF(E99="","",F99*52*'Building Data schedule'!$C$14/1000)</f>
        <v/>
      </c>
      <c r="K99" s="859"/>
    </row>
    <row r="100" spans="2:11" s="63" customFormat="1" ht="15.75" x14ac:dyDescent="0.25">
      <c r="B100" s="333"/>
      <c r="C100" s="334"/>
      <c r="D100" s="335"/>
      <c r="E100" s="636" t="str">
        <f t="shared" si="16"/>
        <v/>
      </c>
      <c r="F100" s="546" t="str">
        <f t="shared" si="17"/>
        <v/>
      </c>
      <c r="G100" s="547" t="str">
        <f>IF(E100="","",F100*52*'Building Data schedule'!$C$14/1000)</f>
        <v/>
      </c>
      <c r="K100" s="859"/>
    </row>
    <row r="101" spans="2:11" s="63" customFormat="1" ht="15.75" x14ac:dyDescent="0.25">
      <c r="B101" s="333"/>
      <c r="C101" s="334"/>
      <c r="D101" s="335"/>
      <c r="E101" s="636" t="str">
        <f t="shared" si="16"/>
        <v/>
      </c>
      <c r="F101" s="546" t="str">
        <f t="shared" si="17"/>
        <v/>
      </c>
      <c r="G101" s="547" t="str">
        <f>IF(E101="","",F101*52*'Building Data schedule'!$C$14/1000)</f>
        <v/>
      </c>
      <c r="K101" s="859"/>
    </row>
    <row r="102" spans="2:11" s="63" customFormat="1" ht="15.75" x14ac:dyDescent="0.25">
      <c r="B102" s="333"/>
      <c r="C102" s="334"/>
      <c r="D102" s="335"/>
      <c r="E102" s="636" t="str">
        <f t="shared" si="16"/>
        <v/>
      </c>
      <c r="F102" s="546" t="str">
        <f t="shared" si="17"/>
        <v/>
      </c>
      <c r="G102" s="547" t="str">
        <f>IF(E102="","",F102*52*'Building Data schedule'!$C$14/1000)</f>
        <v/>
      </c>
      <c r="K102" s="859"/>
    </row>
    <row r="103" spans="2:11" s="63" customFormat="1" ht="15.75" x14ac:dyDescent="0.25">
      <c r="B103" s="333"/>
      <c r="C103" s="334"/>
      <c r="D103" s="335"/>
      <c r="E103" s="636" t="str">
        <f t="shared" si="16"/>
        <v/>
      </c>
      <c r="F103" s="546" t="str">
        <f t="shared" si="17"/>
        <v/>
      </c>
      <c r="G103" s="547" t="str">
        <f>IF(E103="","",F103*52*'Building Data schedule'!$C$14/1000)</f>
        <v/>
      </c>
      <c r="K103" s="859"/>
    </row>
    <row r="104" spans="2:11" s="63" customFormat="1" ht="15.75" x14ac:dyDescent="0.25">
      <c r="B104" s="333"/>
      <c r="C104" s="334"/>
      <c r="D104" s="335"/>
      <c r="E104" s="636" t="str">
        <f t="shared" si="16"/>
        <v/>
      </c>
      <c r="F104" s="546" t="str">
        <f t="shared" si="17"/>
        <v/>
      </c>
      <c r="G104" s="547" t="str">
        <f>IF(E104="","",F104*52*'Building Data schedule'!$C$14/1000)</f>
        <v/>
      </c>
      <c r="K104" s="859"/>
    </row>
    <row r="105" spans="2:11" s="63" customFormat="1" ht="15.75" x14ac:dyDescent="0.25">
      <c r="B105" s="333"/>
      <c r="C105" s="334"/>
      <c r="D105" s="335"/>
      <c r="E105" s="636" t="str">
        <f t="shared" si="16"/>
        <v/>
      </c>
      <c r="F105" s="546" t="str">
        <f t="shared" si="17"/>
        <v/>
      </c>
      <c r="G105" s="547" t="str">
        <f>IF(E105="","",F105*52*'Building Data schedule'!$C$14/1000)</f>
        <v/>
      </c>
      <c r="K105" s="859"/>
    </row>
    <row r="106" spans="2:11" s="63" customFormat="1" ht="15.75" x14ac:dyDescent="0.25">
      <c r="B106" s="333"/>
      <c r="C106" s="334"/>
      <c r="D106" s="335"/>
      <c r="E106" s="636" t="str">
        <f t="shared" si="16"/>
        <v/>
      </c>
      <c r="F106" s="546" t="str">
        <f t="shared" si="17"/>
        <v/>
      </c>
      <c r="G106" s="547" t="str">
        <f>IF(E106="","",F106*52*'Building Data schedule'!$C$14/1000)</f>
        <v/>
      </c>
      <c r="K106" s="859"/>
    </row>
    <row r="107" spans="2:11" s="63" customFormat="1" ht="15.75" x14ac:dyDescent="0.25">
      <c r="B107" s="333"/>
      <c r="C107" s="334"/>
      <c r="D107" s="335"/>
      <c r="E107" s="636" t="str">
        <f t="shared" si="16"/>
        <v/>
      </c>
      <c r="F107" s="546" t="str">
        <f t="shared" si="17"/>
        <v/>
      </c>
      <c r="G107" s="547" t="str">
        <f>IF(E107="","",F107*52*'Building Data schedule'!$C$14/1000)</f>
        <v/>
      </c>
      <c r="K107" s="859"/>
    </row>
    <row r="108" spans="2:11" s="63" customFormat="1" ht="15.75" x14ac:dyDescent="0.25">
      <c r="B108" s="333"/>
      <c r="C108" s="334"/>
      <c r="D108" s="335"/>
      <c r="E108" s="636" t="str">
        <f t="shared" si="16"/>
        <v/>
      </c>
      <c r="F108" s="546" t="str">
        <f t="shared" si="17"/>
        <v/>
      </c>
      <c r="G108" s="547" t="str">
        <f>IF(E108="","",F108*52*'Building Data schedule'!$C$14/1000)</f>
        <v/>
      </c>
      <c r="K108" s="859"/>
    </row>
    <row r="109" spans="2:11" s="63" customFormat="1" ht="15.75" x14ac:dyDescent="0.25">
      <c r="B109" s="333"/>
      <c r="C109" s="334"/>
      <c r="D109" s="335"/>
      <c r="E109" s="636" t="str">
        <f t="shared" si="16"/>
        <v/>
      </c>
      <c r="F109" s="546" t="str">
        <f t="shared" si="17"/>
        <v/>
      </c>
      <c r="G109" s="547" t="str">
        <f>IF(E109="","",F109*52*'Building Data schedule'!$C$14/1000)</f>
        <v/>
      </c>
      <c r="K109" s="859"/>
    </row>
    <row r="110" spans="2:11" s="63" customFormat="1" ht="15.75" x14ac:dyDescent="0.25">
      <c r="B110" s="333"/>
      <c r="C110" s="334"/>
      <c r="D110" s="335"/>
      <c r="E110" s="636" t="str">
        <f t="shared" si="16"/>
        <v/>
      </c>
      <c r="F110" s="546" t="str">
        <f t="shared" si="17"/>
        <v/>
      </c>
      <c r="G110" s="547" t="str">
        <f>IF(E110="","",F110*52*'Building Data schedule'!$C$14/1000)</f>
        <v/>
      </c>
      <c r="K110" s="859"/>
    </row>
    <row r="111" spans="2:11" s="63" customFormat="1" ht="15.75" x14ac:dyDescent="0.25">
      <c r="B111" s="333"/>
      <c r="C111" s="334"/>
      <c r="D111" s="335"/>
      <c r="E111" s="636" t="str">
        <f t="shared" si="16"/>
        <v/>
      </c>
      <c r="F111" s="546" t="str">
        <f t="shared" si="17"/>
        <v/>
      </c>
      <c r="G111" s="547" t="str">
        <f>IF(E111="","",F111*52*'Building Data schedule'!$C$14/1000)</f>
        <v/>
      </c>
      <c r="K111" s="859"/>
    </row>
    <row r="112" spans="2:11" s="63" customFormat="1" ht="15.75" x14ac:dyDescent="0.25">
      <c r="B112" s="333"/>
      <c r="C112" s="334"/>
      <c r="D112" s="335"/>
      <c r="E112" s="636" t="str">
        <f t="shared" si="16"/>
        <v/>
      </c>
      <c r="F112" s="546" t="str">
        <f t="shared" si="17"/>
        <v/>
      </c>
      <c r="G112" s="547" t="str">
        <f>IF(E112="","",F112*52*'Building Data schedule'!$C$14/1000)</f>
        <v/>
      </c>
      <c r="K112" s="859"/>
    </row>
    <row r="113" spans="2:11" s="63" customFormat="1" ht="15.75" x14ac:dyDescent="0.25">
      <c r="B113" s="333"/>
      <c r="C113" s="334"/>
      <c r="D113" s="335"/>
      <c r="E113" s="636" t="str">
        <f t="shared" si="16"/>
        <v/>
      </c>
      <c r="F113" s="546" t="str">
        <f t="shared" si="17"/>
        <v/>
      </c>
      <c r="G113" s="547" t="str">
        <f>IF(E113="","",F113*52*'Building Data schedule'!$C$14/1000)</f>
        <v/>
      </c>
      <c r="K113" s="859"/>
    </row>
    <row r="114" spans="2:11" s="63" customFormat="1" ht="15.75" x14ac:dyDescent="0.25">
      <c r="B114" s="333"/>
      <c r="C114" s="334"/>
      <c r="D114" s="335"/>
      <c r="E114" s="636" t="str">
        <f t="shared" si="16"/>
        <v/>
      </c>
      <c r="F114" s="546" t="str">
        <f t="shared" si="17"/>
        <v/>
      </c>
      <c r="G114" s="547" t="str">
        <f>IF(E114="","",F114*52*'Building Data schedule'!$C$14/1000)</f>
        <v/>
      </c>
      <c r="K114" s="859"/>
    </row>
    <row r="115" spans="2:11" s="63" customFormat="1" ht="15.75" x14ac:dyDescent="0.25">
      <c r="B115" s="333"/>
      <c r="C115" s="334"/>
      <c r="D115" s="335"/>
      <c r="E115" s="636" t="str">
        <f t="shared" si="16"/>
        <v/>
      </c>
      <c r="F115" s="546" t="str">
        <f t="shared" si="17"/>
        <v/>
      </c>
      <c r="G115" s="547" t="str">
        <f>IF(E115="","",F115*52*'Building Data schedule'!$C$14/1000)</f>
        <v/>
      </c>
      <c r="K115" s="859"/>
    </row>
    <row r="116" spans="2:11" s="63" customFormat="1" ht="15.75" x14ac:dyDescent="0.25">
      <c r="B116" s="333"/>
      <c r="C116" s="334"/>
      <c r="D116" s="335"/>
      <c r="E116" s="636" t="str">
        <f t="shared" si="16"/>
        <v/>
      </c>
      <c r="F116" s="546" t="str">
        <f t="shared" si="17"/>
        <v/>
      </c>
      <c r="G116" s="547" t="str">
        <f>IF(E116="","",F116*52*'Building Data schedule'!$C$14/1000)</f>
        <v/>
      </c>
      <c r="K116" s="859"/>
    </row>
    <row r="117" spans="2:11" s="63" customFormat="1" ht="15.75" x14ac:dyDescent="0.25">
      <c r="B117" s="333"/>
      <c r="C117" s="334"/>
      <c r="D117" s="335"/>
      <c r="E117" s="636" t="str">
        <f t="shared" si="16"/>
        <v/>
      </c>
      <c r="F117" s="546" t="str">
        <f t="shared" si="17"/>
        <v/>
      </c>
      <c r="G117" s="547" t="str">
        <f>IF(E117="","",F117*52*'Building Data schedule'!$C$14/1000)</f>
        <v/>
      </c>
      <c r="K117" s="859"/>
    </row>
    <row r="118" spans="2:11" s="63" customFormat="1" ht="15.75" x14ac:dyDescent="0.25">
      <c r="B118" s="333"/>
      <c r="C118" s="334"/>
      <c r="D118" s="335"/>
      <c r="E118" s="636" t="str">
        <f t="shared" si="16"/>
        <v/>
      </c>
      <c r="F118" s="546" t="str">
        <f t="shared" si="17"/>
        <v/>
      </c>
      <c r="G118" s="547" t="str">
        <f>IF(E118="","",F118*52*'Building Data schedule'!$C$14/1000)</f>
        <v/>
      </c>
      <c r="K118" s="859"/>
    </row>
    <row r="119" spans="2:11" s="63" customFormat="1" ht="15.75" x14ac:dyDescent="0.25">
      <c r="B119" s="333"/>
      <c r="C119" s="334"/>
      <c r="D119" s="335"/>
      <c r="E119" s="636" t="str">
        <f t="shared" si="16"/>
        <v/>
      </c>
      <c r="F119" s="546" t="str">
        <f t="shared" si="17"/>
        <v/>
      </c>
      <c r="G119" s="547" t="str">
        <f>IF(E119="","",F119*52*'Building Data schedule'!$C$14/1000)</f>
        <v/>
      </c>
      <c r="K119" s="859"/>
    </row>
    <row r="120" spans="2:11" s="63" customFormat="1" ht="15.75" x14ac:dyDescent="0.25">
      <c r="B120" s="333"/>
      <c r="C120" s="334"/>
      <c r="D120" s="335"/>
      <c r="E120" s="636" t="str">
        <f t="shared" si="16"/>
        <v/>
      </c>
      <c r="F120" s="546" t="str">
        <f t="shared" si="17"/>
        <v/>
      </c>
      <c r="G120" s="547" t="str">
        <f>IF(E120="","",F120*52*'Building Data schedule'!$C$14/1000)</f>
        <v/>
      </c>
      <c r="K120" s="859"/>
    </row>
    <row r="121" spans="2:11" s="63" customFormat="1" ht="15.75" x14ac:dyDescent="0.25">
      <c r="B121" s="333"/>
      <c r="C121" s="334"/>
      <c r="D121" s="335"/>
      <c r="E121" s="636" t="str">
        <f t="shared" si="16"/>
        <v/>
      </c>
      <c r="F121" s="546" t="str">
        <f t="shared" si="17"/>
        <v/>
      </c>
      <c r="G121" s="547" t="str">
        <f>IF(E121="","",F121*52*'Building Data schedule'!$C$14/1000)</f>
        <v/>
      </c>
      <c r="K121" s="859"/>
    </row>
    <row r="122" spans="2:11" s="63" customFormat="1" ht="15.75" x14ac:dyDescent="0.25">
      <c r="B122" s="333"/>
      <c r="C122" s="334"/>
      <c r="D122" s="335"/>
      <c r="E122" s="636" t="str">
        <f t="shared" si="16"/>
        <v/>
      </c>
      <c r="F122" s="546" t="str">
        <f t="shared" si="17"/>
        <v/>
      </c>
      <c r="G122" s="547" t="str">
        <f>IF(E122="","",F122*52*'Building Data schedule'!$C$14/1000)</f>
        <v/>
      </c>
      <c r="K122" s="859"/>
    </row>
    <row r="123" spans="2:11" s="63" customFormat="1" ht="15.75" x14ac:dyDescent="0.25">
      <c r="B123" s="333"/>
      <c r="C123" s="334"/>
      <c r="D123" s="335"/>
      <c r="E123" s="636" t="str">
        <f t="shared" si="16"/>
        <v/>
      </c>
      <c r="F123" s="546" t="str">
        <f t="shared" si="17"/>
        <v/>
      </c>
      <c r="G123" s="547" t="str">
        <f>IF(E123="","",F123*52*'Building Data schedule'!$C$14/1000)</f>
        <v/>
      </c>
      <c r="K123" s="859"/>
    </row>
    <row r="124" spans="2:11" s="63" customFormat="1" ht="15.75" x14ac:dyDescent="0.25">
      <c r="B124" s="333"/>
      <c r="C124" s="334"/>
      <c r="D124" s="335"/>
      <c r="E124" s="636" t="str">
        <f t="shared" si="16"/>
        <v/>
      </c>
      <c r="F124" s="546" t="str">
        <f t="shared" si="17"/>
        <v/>
      </c>
      <c r="G124" s="547" t="str">
        <f>IF(E124="","",F124*52*'Building Data schedule'!$C$14/1000)</f>
        <v/>
      </c>
      <c r="K124" s="859"/>
    </row>
    <row r="125" spans="2:11" s="63" customFormat="1" ht="15.75" x14ac:dyDescent="0.25">
      <c r="B125" s="333"/>
      <c r="C125" s="334"/>
      <c r="D125" s="335"/>
      <c r="E125" s="636" t="str">
        <f t="shared" si="16"/>
        <v/>
      </c>
      <c r="F125" s="546" t="str">
        <f t="shared" si="17"/>
        <v/>
      </c>
      <c r="G125" s="547" t="str">
        <f>IF(E125="","",F125*52*'Building Data schedule'!$C$14/1000)</f>
        <v/>
      </c>
      <c r="K125" s="859"/>
    </row>
    <row r="126" spans="2:11" s="63" customFormat="1" ht="15.75" x14ac:dyDescent="0.25">
      <c r="B126" s="333"/>
      <c r="C126" s="334"/>
      <c r="D126" s="335"/>
      <c r="E126" s="636" t="str">
        <f t="shared" si="16"/>
        <v/>
      </c>
      <c r="F126" s="546" t="str">
        <f t="shared" si="17"/>
        <v/>
      </c>
      <c r="G126" s="547" t="str">
        <f>IF(E126="","",F126*52*'Building Data schedule'!$C$14/1000)</f>
        <v/>
      </c>
      <c r="K126" s="859"/>
    </row>
    <row r="127" spans="2:11" s="63" customFormat="1" ht="15.75" x14ac:dyDescent="0.25">
      <c r="B127" s="333"/>
      <c r="C127" s="334"/>
      <c r="D127" s="335"/>
      <c r="E127" s="636" t="str">
        <f t="shared" si="16"/>
        <v/>
      </c>
      <c r="F127" s="546" t="str">
        <f t="shared" si="17"/>
        <v/>
      </c>
      <c r="G127" s="547" t="str">
        <f>IF(E127="","",F127*52*'Building Data schedule'!$C$14/1000)</f>
        <v/>
      </c>
      <c r="K127" s="859"/>
    </row>
    <row r="128" spans="2:11" s="63" customFormat="1" ht="15.75" x14ac:dyDescent="0.25">
      <c r="B128" s="333"/>
      <c r="C128" s="334"/>
      <c r="D128" s="335"/>
      <c r="E128" s="636" t="str">
        <f t="shared" si="16"/>
        <v/>
      </c>
      <c r="F128" s="546" t="str">
        <f t="shared" si="17"/>
        <v/>
      </c>
      <c r="G128" s="547" t="str">
        <f>IF(E128="","",F128*52*'Building Data schedule'!$C$14/1000)</f>
        <v/>
      </c>
      <c r="K128" s="859"/>
    </row>
    <row r="129" spans="2:11" s="63" customFormat="1" ht="15.75" x14ac:dyDescent="0.25">
      <c r="B129" s="333"/>
      <c r="C129" s="334"/>
      <c r="D129" s="335"/>
      <c r="E129" s="636" t="str">
        <f t="shared" ref="E129:E150" si="18">IFERROR(VLOOKUP(B129,$J$159:$K$169,2,FALSE),"")</f>
        <v/>
      </c>
      <c r="F129" s="546" t="str">
        <f t="shared" ref="F129:F150" si="19">IF(E129="","",C129*D129*E129)</f>
        <v/>
      </c>
      <c r="G129" s="547" t="str">
        <f>IF(E129="","",F129*52*'Building Data schedule'!$C$14/1000)</f>
        <v/>
      </c>
      <c r="K129" s="859"/>
    </row>
    <row r="130" spans="2:11" s="63" customFormat="1" ht="15.75" x14ac:dyDescent="0.25">
      <c r="B130" s="333"/>
      <c r="C130" s="334"/>
      <c r="D130" s="335"/>
      <c r="E130" s="636" t="str">
        <f t="shared" si="18"/>
        <v/>
      </c>
      <c r="F130" s="546" t="str">
        <f t="shared" si="19"/>
        <v/>
      </c>
      <c r="G130" s="547" t="str">
        <f>IF(E130="","",F130*52*'Building Data schedule'!$C$14/1000)</f>
        <v/>
      </c>
      <c r="K130" s="859"/>
    </row>
    <row r="131" spans="2:11" s="63" customFormat="1" ht="15.75" x14ac:dyDescent="0.25">
      <c r="B131" s="333"/>
      <c r="C131" s="334"/>
      <c r="D131" s="335"/>
      <c r="E131" s="636" t="str">
        <f t="shared" si="18"/>
        <v/>
      </c>
      <c r="F131" s="546" t="str">
        <f t="shared" si="19"/>
        <v/>
      </c>
      <c r="G131" s="547" t="str">
        <f>IF(E131="","",F131*52*'Building Data schedule'!$C$14/1000)</f>
        <v/>
      </c>
      <c r="K131" s="859"/>
    </row>
    <row r="132" spans="2:11" s="63" customFormat="1" ht="15.75" x14ac:dyDescent="0.25">
      <c r="B132" s="333"/>
      <c r="C132" s="334"/>
      <c r="D132" s="335"/>
      <c r="E132" s="636" t="str">
        <f t="shared" si="18"/>
        <v/>
      </c>
      <c r="F132" s="546" t="str">
        <f t="shared" si="19"/>
        <v/>
      </c>
      <c r="G132" s="547" t="str">
        <f>IF(E132="","",F132*52*'Building Data schedule'!$C$14/1000)</f>
        <v/>
      </c>
      <c r="K132" s="859"/>
    </row>
    <row r="133" spans="2:11" s="63" customFormat="1" ht="15.75" x14ac:dyDescent="0.25">
      <c r="B133" s="333"/>
      <c r="C133" s="334"/>
      <c r="D133" s="335"/>
      <c r="E133" s="636" t="str">
        <f t="shared" si="18"/>
        <v/>
      </c>
      <c r="F133" s="546" t="str">
        <f t="shared" si="19"/>
        <v/>
      </c>
      <c r="G133" s="547" t="str">
        <f>IF(E133="","",F133*52*'Building Data schedule'!$C$14/1000)</f>
        <v/>
      </c>
      <c r="K133" s="859"/>
    </row>
    <row r="134" spans="2:11" s="63" customFormat="1" ht="15.75" x14ac:dyDescent="0.25">
      <c r="B134" s="333"/>
      <c r="C134" s="334"/>
      <c r="D134" s="335"/>
      <c r="E134" s="636" t="str">
        <f t="shared" si="18"/>
        <v/>
      </c>
      <c r="F134" s="546" t="str">
        <f t="shared" si="19"/>
        <v/>
      </c>
      <c r="G134" s="547" t="str">
        <f>IF(E134="","",F134*52*'Building Data schedule'!$C$14/1000)</f>
        <v/>
      </c>
      <c r="K134" s="859"/>
    </row>
    <row r="135" spans="2:11" s="63" customFormat="1" ht="15.75" x14ac:dyDescent="0.25">
      <c r="B135" s="333"/>
      <c r="C135" s="334"/>
      <c r="D135" s="335"/>
      <c r="E135" s="636" t="str">
        <f t="shared" si="18"/>
        <v/>
      </c>
      <c r="F135" s="546" t="str">
        <f t="shared" si="19"/>
        <v/>
      </c>
      <c r="G135" s="547" t="str">
        <f>IF(E135="","",F135*52*'Building Data schedule'!$C$14/1000)</f>
        <v/>
      </c>
      <c r="K135" s="859"/>
    </row>
    <row r="136" spans="2:11" s="63" customFormat="1" ht="15.75" x14ac:dyDescent="0.25">
      <c r="B136" s="333"/>
      <c r="C136" s="334"/>
      <c r="D136" s="335"/>
      <c r="E136" s="636" t="str">
        <f t="shared" si="18"/>
        <v/>
      </c>
      <c r="F136" s="546" t="str">
        <f t="shared" si="19"/>
        <v/>
      </c>
      <c r="G136" s="547" t="str">
        <f>IF(E136="","",F136*52*'Building Data schedule'!$C$14/1000)</f>
        <v/>
      </c>
      <c r="K136" s="859"/>
    </row>
    <row r="137" spans="2:11" s="63" customFormat="1" ht="15.75" x14ac:dyDescent="0.25">
      <c r="B137" s="333"/>
      <c r="C137" s="334"/>
      <c r="D137" s="335"/>
      <c r="E137" s="636" t="str">
        <f t="shared" si="18"/>
        <v/>
      </c>
      <c r="F137" s="546" t="str">
        <f t="shared" si="19"/>
        <v/>
      </c>
      <c r="G137" s="547" t="str">
        <f>IF(E137="","",F137*52*'Building Data schedule'!$C$14/1000)</f>
        <v/>
      </c>
      <c r="K137" s="859"/>
    </row>
    <row r="138" spans="2:11" s="63" customFormat="1" ht="15.75" x14ac:dyDescent="0.25">
      <c r="B138" s="333"/>
      <c r="C138" s="334"/>
      <c r="D138" s="335"/>
      <c r="E138" s="636" t="str">
        <f t="shared" si="18"/>
        <v/>
      </c>
      <c r="F138" s="546" t="str">
        <f t="shared" si="19"/>
        <v/>
      </c>
      <c r="G138" s="547" t="str">
        <f>IF(E138="","",F138*52*'Building Data schedule'!$C$14/1000)</f>
        <v/>
      </c>
      <c r="K138" s="859"/>
    </row>
    <row r="139" spans="2:11" s="63" customFormat="1" ht="15.75" x14ac:dyDescent="0.25">
      <c r="B139" s="333"/>
      <c r="C139" s="334"/>
      <c r="D139" s="335"/>
      <c r="E139" s="636" t="str">
        <f t="shared" si="18"/>
        <v/>
      </c>
      <c r="F139" s="546" t="str">
        <f t="shared" si="19"/>
        <v/>
      </c>
      <c r="G139" s="547" t="str">
        <f>IF(E139="","",F139*52*'Building Data schedule'!$C$14/1000)</f>
        <v/>
      </c>
      <c r="K139" s="859"/>
    </row>
    <row r="140" spans="2:11" s="63" customFormat="1" ht="15.75" x14ac:dyDescent="0.25">
      <c r="B140" s="333"/>
      <c r="C140" s="334"/>
      <c r="D140" s="335"/>
      <c r="E140" s="636" t="str">
        <f t="shared" si="18"/>
        <v/>
      </c>
      <c r="F140" s="546" t="str">
        <f t="shared" si="19"/>
        <v/>
      </c>
      <c r="G140" s="547" t="str">
        <f>IF(E140="","",F140*52*'Building Data schedule'!$C$14/1000)</f>
        <v/>
      </c>
      <c r="K140" s="859"/>
    </row>
    <row r="141" spans="2:11" s="63" customFormat="1" ht="15.75" x14ac:dyDescent="0.25">
      <c r="B141" s="333"/>
      <c r="C141" s="334"/>
      <c r="D141" s="335"/>
      <c r="E141" s="636" t="str">
        <f t="shared" si="18"/>
        <v/>
      </c>
      <c r="F141" s="546" t="str">
        <f t="shared" si="19"/>
        <v/>
      </c>
      <c r="G141" s="547" t="str">
        <f>IF(E141="","",F141*52*'Building Data schedule'!$C$14/1000)</f>
        <v/>
      </c>
      <c r="K141" s="859"/>
    </row>
    <row r="142" spans="2:11" s="63" customFormat="1" ht="15.75" x14ac:dyDescent="0.25">
      <c r="B142" s="333"/>
      <c r="C142" s="334"/>
      <c r="D142" s="335"/>
      <c r="E142" s="636" t="str">
        <f t="shared" si="18"/>
        <v/>
      </c>
      <c r="F142" s="546" t="str">
        <f t="shared" si="19"/>
        <v/>
      </c>
      <c r="G142" s="547" t="str">
        <f>IF(E142="","",F142*52*'Building Data schedule'!$C$14/1000)</f>
        <v/>
      </c>
      <c r="K142" s="859"/>
    </row>
    <row r="143" spans="2:11" s="63" customFormat="1" ht="15.75" x14ac:dyDescent="0.25">
      <c r="B143" s="333"/>
      <c r="C143" s="334"/>
      <c r="D143" s="335"/>
      <c r="E143" s="636" t="str">
        <f t="shared" si="18"/>
        <v/>
      </c>
      <c r="F143" s="546" t="str">
        <f t="shared" si="19"/>
        <v/>
      </c>
      <c r="G143" s="547" t="str">
        <f>IF(E143="","",F143*52*'Building Data schedule'!$C$14/1000)</f>
        <v/>
      </c>
      <c r="K143" s="859"/>
    </row>
    <row r="144" spans="2:11" s="63" customFormat="1" ht="15.75" x14ac:dyDescent="0.25">
      <c r="B144" s="333"/>
      <c r="C144" s="334"/>
      <c r="D144" s="335"/>
      <c r="E144" s="636" t="str">
        <f t="shared" si="18"/>
        <v/>
      </c>
      <c r="F144" s="546" t="str">
        <f t="shared" si="19"/>
        <v/>
      </c>
      <c r="G144" s="547" t="str">
        <f>IF(E144="","",F144*52*'Building Data schedule'!$C$14/1000)</f>
        <v/>
      </c>
      <c r="K144" s="859"/>
    </row>
    <row r="145" spans="2:18" s="63" customFormat="1" ht="15.75" x14ac:dyDescent="0.25">
      <c r="B145" s="333"/>
      <c r="C145" s="334"/>
      <c r="D145" s="335"/>
      <c r="E145" s="636" t="str">
        <f t="shared" si="18"/>
        <v/>
      </c>
      <c r="F145" s="546" t="str">
        <f t="shared" si="19"/>
        <v/>
      </c>
      <c r="G145" s="547" t="str">
        <f>IF(E145="","",F145*52*'Building Data schedule'!$C$14/1000)</f>
        <v/>
      </c>
      <c r="K145" s="859"/>
    </row>
    <row r="146" spans="2:18" s="63" customFormat="1" ht="15.75" x14ac:dyDescent="0.25">
      <c r="B146" s="333"/>
      <c r="C146" s="334"/>
      <c r="D146" s="335"/>
      <c r="E146" s="636" t="str">
        <f t="shared" si="18"/>
        <v/>
      </c>
      <c r="F146" s="546" t="str">
        <f t="shared" si="19"/>
        <v/>
      </c>
      <c r="G146" s="547" t="str">
        <f>IF(E146="","",F146*52*'Building Data schedule'!$C$14/1000)</f>
        <v/>
      </c>
      <c r="K146" s="859"/>
    </row>
    <row r="147" spans="2:18" s="63" customFormat="1" ht="15.75" x14ac:dyDescent="0.25">
      <c r="B147" s="333"/>
      <c r="C147" s="334"/>
      <c r="D147" s="335"/>
      <c r="E147" s="636" t="str">
        <f t="shared" si="18"/>
        <v/>
      </c>
      <c r="F147" s="546" t="str">
        <f t="shared" si="19"/>
        <v/>
      </c>
      <c r="G147" s="547" t="str">
        <f>IF(E147="","",F147*52*'Building Data schedule'!$C$14/1000)</f>
        <v/>
      </c>
      <c r="K147" s="859"/>
    </row>
    <row r="148" spans="2:18" s="63" customFormat="1" ht="15.75" x14ac:dyDescent="0.25">
      <c r="B148" s="333"/>
      <c r="C148" s="334"/>
      <c r="D148" s="335"/>
      <c r="E148" s="636" t="str">
        <f t="shared" si="18"/>
        <v/>
      </c>
      <c r="F148" s="546" t="str">
        <f t="shared" si="19"/>
        <v/>
      </c>
      <c r="G148" s="547" t="str">
        <f>IF(E148="","",F148*52*'Building Data schedule'!$C$14/1000)</f>
        <v/>
      </c>
      <c r="K148" s="859"/>
    </row>
    <row r="149" spans="2:18" s="63" customFormat="1" ht="15.75" x14ac:dyDescent="0.25">
      <c r="B149" s="333"/>
      <c r="C149" s="334"/>
      <c r="D149" s="335"/>
      <c r="E149" s="636" t="str">
        <f t="shared" si="18"/>
        <v/>
      </c>
      <c r="F149" s="546" t="str">
        <f t="shared" si="19"/>
        <v/>
      </c>
      <c r="G149" s="547" t="str">
        <f>IF(E149="","",F149*52*'Building Data schedule'!$C$14/1000)</f>
        <v/>
      </c>
      <c r="K149" s="859"/>
    </row>
    <row r="150" spans="2:18" s="63" customFormat="1" ht="16.5" thickBot="1" x14ac:dyDescent="0.3">
      <c r="B150" s="333"/>
      <c r="C150" s="336"/>
      <c r="D150" s="337"/>
      <c r="E150" s="636" t="str">
        <f t="shared" si="18"/>
        <v/>
      </c>
      <c r="F150" s="546" t="str">
        <f t="shared" si="19"/>
        <v/>
      </c>
      <c r="G150" s="547" t="str">
        <f>IF(E150="","",F150*52*'Building Data schedule'!$C$14/1000)</f>
        <v/>
      </c>
      <c r="K150" s="859"/>
    </row>
    <row r="151" spans="2:18" s="63" customFormat="1" ht="16.5" thickBot="1" x14ac:dyDescent="0.3">
      <c r="B151" s="125"/>
      <c r="C151" s="125"/>
      <c r="D151" s="125"/>
      <c r="E151" s="128" t="s">
        <v>219</v>
      </c>
      <c r="F151" s="548">
        <f>SUM(F97:F150)</f>
        <v>0</v>
      </c>
      <c r="G151" s="549">
        <f>SUM(G97:G150)</f>
        <v>0</v>
      </c>
      <c r="K151" s="860"/>
    </row>
    <row r="152" spans="2:18" s="63" customFormat="1" ht="15.75" x14ac:dyDescent="0.25">
      <c r="B152" s="125"/>
      <c r="C152" s="125"/>
      <c r="D152" s="125"/>
      <c r="E152" s="125"/>
      <c r="F152" s="125"/>
      <c r="G152" s="125"/>
      <c r="H152" s="125"/>
      <c r="I152" s="126"/>
    </row>
    <row r="153" spans="2:18" s="63" customFormat="1" ht="15.75" x14ac:dyDescent="0.25">
      <c r="B153" s="125"/>
      <c r="C153" s="125"/>
      <c r="D153" s="125"/>
      <c r="E153" s="125"/>
      <c r="F153" s="125"/>
      <c r="G153" s="125"/>
      <c r="H153" s="125"/>
      <c r="I153" s="126"/>
    </row>
    <row r="154" spans="2:18" ht="15.75" x14ac:dyDescent="0.25">
      <c r="B154" s="131" t="s">
        <v>595</v>
      </c>
      <c r="C154" s="125"/>
      <c r="D154" s="125"/>
      <c r="E154" s="125"/>
      <c r="F154" s="125"/>
      <c r="G154" s="125"/>
      <c r="H154" s="125"/>
      <c r="I154" s="126"/>
      <c r="J154" s="63"/>
      <c r="K154" s="63"/>
    </row>
    <row r="155" spans="2:18" ht="15.75" thickBot="1" x14ac:dyDescent="0.3"/>
    <row r="156" spans="2:18" ht="24" customHeight="1" x14ac:dyDescent="0.25">
      <c r="B156" s="1052" t="s">
        <v>186</v>
      </c>
      <c r="C156" s="1053"/>
      <c r="D156" s="1053"/>
      <c r="E156" s="1053"/>
      <c r="F156" s="1053"/>
      <c r="G156" s="1054"/>
      <c r="H156" s="857"/>
    </row>
    <row r="157" spans="2:18" ht="24" customHeight="1" thickBot="1" x14ac:dyDescent="0.3">
      <c r="B157" s="1055" t="s">
        <v>187</v>
      </c>
      <c r="C157" s="1056"/>
      <c r="D157" s="1056"/>
      <c r="E157" s="1056"/>
      <c r="F157" s="1056"/>
      <c r="G157" s="1057"/>
      <c r="H157" s="858"/>
    </row>
    <row r="158" spans="2:18" ht="60" customHeight="1" thickBot="1" x14ac:dyDescent="0.3">
      <c r="B158" s="117" t="s">
        <v>188</v>
      </c>
      <c r="C158" s="1058" t="s">
        <v>189</v>
      </c>
      <c r="D158" s="1059"/>
      <c r="E158" s="1059"/>
      <c r="F158" s="1060"/>
      <c r="G158" s="118" t="s">
        <v>190</v>
      </c>
      <c r="H158" s="858"/>
      <c r="J158" s="936" t="s">
        <v>645</v>
      </c>
      <c r="K158" s="937" t="s">
        <v>190</v>
      </c>
      <c r="M158" s="704"/>
      <c r="N158" s="704"/>
      <c r="O158" s="704"/>
      <c r="P158" s="704"/>
      <c r="Q158" s="704"/>
      <c r="R158" s="704"/>
    </row>
    <row r="159" spans="2:18" ht="63" customHeight="1" thickBot="1" x14ac:dyDescent="0.3">
      <c r="B159" s="119" t="s">
        <v>191</v>
      </c>
      <c r="C159" s="1061" t="s">
        <v>192</v>
      </c>
      <c r="D159" s="1062"/>
      <c r="E159" s="1062"/>
      <c r="F159" s="1063"/>
      <c r="G159" s="118">
        <v>0.01</v>
      </c>
      <c r="H159" s="858"/>
      <c r="J159" s="936" t="s">
        <v>191</v>
      </c>
      <c r="K159" s="937">
        <v>0.01</v>
      </c>
      <c r="M159" s="704"/>
      <c r="N159" s="704"/>
      <c r="O159" s="704"/>
      <c r="P159" s="704"/>
      <c r="Q159" s="704"/>
      <c r="R159" s="704"/>
    </row>
    <row r="160" spans="2:18" ht="60" customHeight="1" thickBot="1" x14ac:dyDescent="0.3">
      <c r="B160" s="119" t="s">
        <v>193</v>
      </c>
      <c r="C160" s="1061" t="s">
        <v>194</v>
      </c>
      <c r="D160" s="1062"/>
      <c r="E160" s="1062"/>
      <c r="F160" s="1063"/>
      <c r="G160" s="118">
        <v>0.01</v>
      </c>
      <c r="H160" s="858"/>
      <c r="J160" s="936" t="s">
        <v>193</v>
      </c>
      <c r="K160" s="937">
        <v>0.01</v>
      </c>
      <c r="M160" s="704"/>
      <c r="N160" s="704"/>
      <c r="O160" s="704"/>
      <c r="P160" s="704"/>
      <c r="Q160" s="704"/>
      <c r="R160" s="704"/>
    </row>
    <row r="161" spans="2:18" ht="71.25" customHeight="1" thickBot="1" x14ac:dyDescent="0.3">
      <c r="B161" s="119" t="s">
        <v>195</v>
      </c>
      <c r="C161" s="1061" t="s">
        <v>196</v>
      </c>
      <c r="D161" s="1062"/>
      <c r="E161" s="1062"/>
      <c r="F161" s="1063"/>
      <c r="G161" s="118">
        <v>0.01</v>
      </c>
      <c r="H161" s="858"/>
      <c r="J161" s="936" t="s">
        <v>195</v>
      </c>
      <c r="K161" s="937">
        <v>0.01</v>
      </c>
      <c r="M161" s="704"/>
      <c r="N161" s="704"/>
      <c r="O161" s="704"/>
      <c r="P161" s="704"/>
      <c r="Q161" s="704"/>
      <c r="R161" s="704"/>
    </row>
    <row r="162" spans="2:18" ht="108" customHeight="1" thickBot="1" x14ac:dyDescent="0.3">
      <c r="B162" s="119" t="s">
        <v>197</v>
      </c>
      <c r="C162" s="1068" t="s">
        <v>198</v>
      </c>
      <c r="D162" s="1069"/>
      <c r="E162" s="1069"/>
      <c r="F162" s="1070"/>
      <c r="G162" s="118">
        <v>0.02</v>
      </c>
      <c r="H162" s="858"/>
      <c r="J162" s="936" t="s">
        <v>197</v>
      </c>
      <c r="K162" s="937">
        <v>0.02</v>
      </c>
      <c r="M162" s="704"/>
      <c r="N162" s="704"/>
      <c r="O162" s="704"/>
      <c r="P162" s="704"/>
      <c r="Q162" s="704"/>
      <c r="R162" s="704"/>
    </row>
    <row r="163" spans="2:18" ht="110.25" customHeight="1" thickBot="1" x14ac:dyDescent="0.3">
      <c r="B163" s="119" t="s">
        <v>199</v>
      </c>
      <c r="C163" s="1068" t="s">
        <v>200</v>
      </c>
      <c r="D163" s="1069"/>
      <c r="E163" s="1069"/>
      <c r="F163" s="1070"/>
      <c r="G163" s="118">
        <v>0.03</v>
      </c>
      <c r="H163" s="858"/>
      <c r="J163" s="936" t="s">
        <v>199</v>
      </c>
      <c r="K163" s="937">
        <v>0.03</v>
      </c>
      <c r="M163" s="704"/>
      <c r="N163" s="704"/>
      <c r="O163" s="704"/>
      <c r="P163" s="704"/>
      <c r="Q163" s="704"/>
      <c r="R163" s="704"/>
    </row>
    <row r="164" spans="2:18" ht="72" customHeight="1" x14ac:dyDescent="0.25">
      <c r="B164" s="120" t="s">
        <v>201</v>
      </c>
      <c r="C164" s="1071" t="s">
        <v>203</v>
      </c>
      <c r="D164" s="1072"/>
      <c r="E164" s="1072"/>
      <c r="F164" s="1073"/>
      <c r="G164" s="1077">
        <v>0.15</v>
      </c>
      <c r="H164" s="858"/>
      <c r="J164" s="936" t="s">
        <v>644</v>
      </c>
      <c r="K164" s="937">
        <v>0.15</v>
      </c>
      <c r="M164" s="704"/>
      <c r="N164" s="704"/>
      <c r="O164" s="704"/>
      <c r="P164" s="704"/>
      <c r="Q164" s="704"/>
      <c r="R164" s="704"/>
    </row>
    <row r="165" spans="2:18" ht="37.5" x14ac:dyDescent="0.25">
      <c r="B165" s="120" t="s">
        <v>202</v>
      </c>
      <c r="C165" s="1083"/>
      <c r="D165" s="1084"/>
      <c r="E165" s="1084"/>
      <c r="F165" s="1085"/>
      <c r="G165" s="1078"/>
      <c r="H165" s="858"/>
      <c r="J165" s="936" t="s">
        <v>904</v>
      </c>
      <c r="K165" s="937">
        <v>0.3</v>
      </c>
      <c r="M165" s="704"/>
      <c r="N165" s="704"/>
      <c r="O165" s="704"/>
      <c r="P165" s="704"/>
      <c r="Q165" s="704"/>
      <c r="R165" s="704"/>
    </row>
    <row r="166" spans="2:18" ht="48.75" customHeight="1" x14ac:dyDescent="0.25">
      <c r="B166" s="121"/>
      <c r="C166" s="1086" t="s">
        <v>204</v>
      </c>
      <c r="D166" s="1087"/>
      <c r="E166" s="1087"/>
      <c r="F166" s="1088"/>
      <c r="G166" s="1078"/>
      <c r="H166" s="858"/>
      <c r="J166" s="936" t="s">
        <v>905</v>
      </c>
      <c r="K166" s="937">
        <v>0.2</v>
      </c>
      <c r="M166" s="704"/>
      <c r="N166" s="704"/>
      <c r="O166" s="704"/>
      <c r="P166" s="704"/>
      <c r="Q166" s="704"/>
      <c r="R166" s="704"/>
    </row>
    <row r="167" spans="2:18" ht="51" customHeight="1" x14ac:dyDescent="0.25">
      <c r="B167" s="121"/>
      <c r="C167" s="1086" t="s">
        <v>205</v>
      </c>
      <c r="D167" s="1087"/>
      <c r="E167" s="1087"/>
      <c r="F167" s="1088"/>
      <c r="G167" s="1078"/>
      <c r="H167" s="858"/>
      <c r="J167" s="936" t="s">
        <v>906</v>
      </c>
      <c r="K167" s="937">
        <v>0.15</v>
      </c>
      <c r="M167" s="704"/>
      <c r="N167" s="704"/>
      <c r="O167" s="704"/>
      <c r="P167" s="704"/>
      <c r="Q167" s="704"/>
      <c r="R167" s="704"/>
    </row>
    <row r="168" spans="2:18" ht="51.75" customHeight="1" thickBot="1" x14ac:dyDescent="0.3">
      <c r="B168" s="122"/>
      <c r="C168" s="1074" t="s">
        <v>206</v>
      </c>
      <c r="D168" s="1075"/>
      <c r="E168" s="1075"/>
      <c r="F168" s="1076"/>
      <c r="G168" s="1079"/>
      <c r="H168" s="858"/>
      <c r="J168" s="936" t="s">
        <v>212</v>
      </c>
      <c r="K168" s="937">
        <v>0.1</v>
      </c>
      <c r="M168" s="704"/>
      <c r="N168" s="704"/>
      <c r="O168" s="704"/>
      <c r="P168" s="704"/>
      <c r="Q168" s="704"/>
      <c r="R168" s="704"/>
    </row>
    <row r="169" spans="2:18" ht="48.75" thickBot="1" x14ac:dyDescent="0.3">
      <c r="B169" s="1080" t="s">
        <v>207</v>
      </c>
      <c r="C169" s="1080" t="s">
        <v>208</v>
      </c>
      <c r="D169" s="855"/>
      <c r="E169" s="855"/>
      <c r="F169" s="123" t="s">
        <v>209</v>
      </c>
      <c r="G169" s="118">
        <v>0.3</v>
      </c>
      <c r="H169" s="858"/>
      <c r="J169" s="936" t="s">
        <v>214</v>
      </c>
      <c r="K169" s="937">
        <v>0.2</v>
      </c>
      <c r="M169" s="704"/>
      <c r="N169" s="704"/>
      <c r="O169" s="704"/>
      <c r="P169" s="704"/>
      <c r="Q169" s="704"/>
      <c r="R169" s="704"/>
    </row>
    <row r="170" spans="2:18" ht="15.75" thickBot="1" x14ac:dyDescent="0.3">
      <c r="B170" s="1081"/>
      <c r="C170" s="1081"/>
      <c r="D170" s="855"/>
      <c r="E170" s="855"/>
      <c r="F170" s="124" t="s">
        <v>210</v>
      </c>
      <c r="G170" s="118">
        <v>0.2</v>
      </c>
      <c r="H170" s="858"/>
      <c r="J170" s="938"/>
      <c r="K170" s="938"/>
      <c r="L170" s="704"/>
      <c r="M170" s="704"/>
      <c r="N170" s="704"/>
      <c r="O170" s="704"/>
      <c r="P170" s="704"/>
      <c r="Q170" s="704"/>
      <c r="R170" s="704"/>
    </row>
    <row r="171" spans="2:18" ht="15.75" thickBot="1" x14ac:dyDescent="0.3">
      <c r="B171" s="1082"/>
      <c r="C171" s="1082"/>
      <c r="D171" s="124"/>
      <c r="E171" s="124"/>
      <c r="F171" s="124" t="s">
        <v>211</v>
      </c>
      <c r="G171" s="118">
        <v>0.15</v>
      </c>
      <c r="H171" s="858"/>
      <c r="J171" s="938"/>
      <c r="K171" s="938"/>
      <c r="L171" s="704"/>
      <c r="M171" s="704"/>
      <c r="N171" s="704"/>
      <c r="O171" s="704"/>
      <c r="P171" s="704"/>
      <c r="Q171" s="704"/>
      <c r="R171" s="704"/>
    </row>
    <row r="172" spans="2:18" ht="61.5" customHeight="1" thickBot="1" x14ac:dyDescent="0.3">
      <c r="B172" s="119" t="s">
        <v>212</v>
      </c>
      <c r="C172" s="1061" t="s">
        <v>213</v>
      </c>
      <c r="D172" s="1062"/>
      <c r="E172" s="1062"/>
      <c r="F172" s="1063"/>
      <c r="G172" s="118">
        <v>0.1</v>
      </c>
      <c r="H172" s="858"/>
      <c r="J172" s="938"/>
      <c r="K172" s="938"/>
      <c r="L172" s="704"/>
      <c r="M172" s="704"/>
      <c r="N172" s="704"/>
      <c r="O172" s="704"/>
      <c r="P172" s="704"/>
      <c r="Q172" s="704"/>
      <c r="R172" s="704"/>
    </row>
    <row r="173" spans="2:18" ht="69" customHeight="1" x14ac:dyDescent="0.25">
      <c r="B173" s="1080" t="s">
        <v>214</v>
      </c>
      <c r="C173" s="1071" t="s">
        <v>203</v>
      </c>
      <c r="D173" s="1072"/>
      <c r="E173" s="1072"/>
      <c r="F173" s="1073"/>
      <c r="G173" s="1077">
        <v>0.2</v>
      </c>
      <c r="H173" s="858"/>
      <c r="J173" s="938"/>
      <c r="K173" s="938"/>
      <c r="L173" s="704"/>
      <c r="M173" s="704"/>
      <c r="N173" s="704"/>
      <c r="O173" s="704"/>
      <c r="P173" s="704"/>
      <c r="Q173" s="704"/>
      <c r="R173" s="704"/>
    </row>
    <row r="174" spans="2:18" ht="5.25" customHeight="1" x14ac:dyDescent="0.25">
      <c r="B174" s="1081"/>
      <c r="C174" s="1083"/>
      <c r="D174" s="1084"/>
      <c r="E174" s="1084"/>
      <c r="F174" s="1085"/>
      <c r="G174" s="1078"/>
      <c r="H174" s="858"/>
      <c r="J174" s="938"/>
      <c r="K174" s="938"/>
      <c r="L174" s="704"/>
      <c r="M174" s="704"/>
      <c r="N174" s="704"/>
      <c r="O174" s="704"/>
      <c r="P174" s="704"/>
      <c r="Q174" s="704"/>
      <c r="R174" s="704"/>
    </row>
    <row r="175" spans="2:18" ht="42" customHeight="1" x14ac:dyDescent="0.25">
      <c r="B175" s="1081"/>
      <c r="C175" s="1086" t="s">
        <v>215</v>
      </c>
      <c r="D175" s="1087"/>
      <c r="E175" s="1087"/>
      <c r="F175" s="1088"/>
      <c r="G175" s="1078"/>
      <c r="H175" s="858"/>
      <c r="J175" s="938"/>
      <c r="K175" s="938"/>
      <c r="L175" s="704"/>
      <c r="M175" s="704"/>
      <c r="N175" s="704"/>
      <c r="O175" s="704"/>
      <c r="P175" s="704"/>
      <c r="Q175" s="704"/>
      <c r="R175" s="704"/>
    </row>
    <row r="176" spans="2:18" ht="6" customHeight="1" x14ac:dyDescent="0.25">
      <c r="B176" s="1081"/>
      <c r="C176" s="1083"/>
      <c r="D176" s="1084"/>
      <c r="E176" s="1084"/>
      <c r="F176" s="1085"/>
      <c r="G176" s="1078"/>
      <c r="H176" s="858"/>
      <c r="J176" s="938"/>
      <c r="K176" s="938"/>
      <c r="L176" s="704"/>
      <c r="M176" s="704"/>
      <c r="N176" s="704"/>
      <c r="O176" s="704"/>
      <c r="P176" s="704"/>
      <c r="Q176" s="704"/>
      <c r="R176" s="704"/>
    </row>
    <row r="177" spans="2:18" ht="27.75" customHeight="1" thickBot="1" x14ac:dyDescent="0.3">
      <c r="B177" s="1082"/>
      <c r="C177" s="1074" t="s">
        <v>216</v>
      </c>
      <c r="D177" s="1075"/>
      <c r="E177" s="1075"/>
      <c r="F177" s="1076"/>
      <c r="G177" s="1079"/>
      <c r="H177" s="858"/>
      <c r="J177" s="938"/>
      <c r="K177" s="938"/>
      <c r="L177" s="704"/>
      <c r="M177" s="704"/>
      <c r="N177" s="704"/>
      <c r="O177" s="704"/>
      <c r="P177" s="704"/>
      <c r="Q177" s="704"/>
      <c r="R177" s="704"/>
    </row>
    <row r="178" spans="2:18" ht="42.75" customHeight="1" thickBot="1" x14ac:dyDescent="0.3">
      <c r="B178" s="1058" t="s">
        <v>217</v>
      </c>
      <c r="C178" s="1059"/>
      <c r="D178" s="1059"/>
      <c r="E178" s="1059"/>
      <c r="F178" s="1059"/>
      <c r="G178" s="1060"/>
      <c r="H178" s="858"/>
      <c r="J178" s="938"/>
      <c r="K178" s="938"/>
      <c r="L178" s="704"/>
      <c r="M178" s="704"/>
      <c r="N178" s="704"/>
      <c r="O178" s="704"/>
      <c r="P178" s="704"/>
      <c r="Q178" s="704"/>
      <c r="R178" s="704"/>
    </row>
    <row r="179" spans="2:18" x14ac:dyDescent="0.25">
      <c r="J179" s="938"/>
      <c r="K179" s="938"/>
      <c r="L179" s="704"/>
      <c r="M179" s="704"/>
      <c r="N179" s="704"/>
      <c r="O179" s="704"/>
      <c r="P179" s="704"/>
      <c r="Q179" s="704"/>
      <c r="R179" s="704"/>
    </row>
    <row r="180" spans="2:18" x14ac:dyDescent="0.25">
      <c r="J180" s="938"/>
      <c r="K180" s="938"/>
      <c r="L180" s="704"/>
      <c r="M180" s="704"/>
      <c r="N180" s="704"/>
      <c r="O180" s="704"/>
      <c r="P180" s="704"/>
      <c r="Q180" s="704"/>
      <c r="R180" s="704"/>
    </row>
    <row r="181" spans="2:18" x14ac:dyDescent="0.25">
      <c r="J181" s="938"/>
      <c r="K181" s="938"/>
      <c r="L181" s="704"/>
      <c r="M181" s="704"/>
      <c r="N181" s="704"/>
      <c r="O181" s="704"/>
      <c r="P181" s="704"/>
      <c r="Q181" s="704"/>
      <c r="R181" s="704"/>
    </row>
    <row r="182" spans="2:18" x14ac:dyDescent="0.25">
      <c r="J182" s="938"/>
      <c r="K182" s="938"/>
      <c r="L182" s="704"/>
      <c r="M182" s="704"/>
      <c r="N182" s="704"/>
      <c r="O182" s="704"/>
      <c r="P182" s="704"/>
      <c r="Q182" s="704"/>
      <c r="R182" s="704"/>
    </row>
    <row r="183" spans="2:18" x14ac:dyDescent="0.25">
      <c r="J183" s="938"/>
      <c r="K183" s="938"/>
      <c r="L183" s="704"/>
      <c r="M183" s="704"/>
      <c r="N183" s="704"/>
      <c r="O183" s="704"/>
      <c r="P183" s="704"/>
      <c r="Q183" s="704"/>
      <c r="R183" s="704"/>
    </row>
    <row r="184" spans="2:18" x14ac:dyDescent="0.25">
      <c r="J184" s="938"/>
      <c r="K184" s="938"/>
      <c r="L184" s="704"/>
      <c r="M184" s="704"/>
      <c r="N184" s="704"/>
      <c r="O184" s="704"/>
      <c r="P184" s="704"/>
      <c r="Q184" s="704"/>
      <c r="R184" s="704"/>
    </row>
    <row r="185" spans="2:18" x14ac:dyDescent="0.25">
      <c r="J185" s="938"/>
      <c r="K185" s="938"/>
      <c r="L185" s="704"/>
      <c r="M185" s="704"/>
      <c r="N185" s="704"/>
      <c r="O185" s="704"/>
      <c r="P185" s="704"/>
      <c r="Q185" s="704"/>
      <c r="R185" s="704"/>
    </row>
  </sheetData>
  <sheetProtection algorithmName="SHA-512" hashValue="UDnchzBzv5Fd7NlsQ5k/0wkYRDvf0OVifH33UNUWRAOUcqyG7e2Mi3I0UJldGKhY9i0/CNFZZHujhSMtehNt/g==" saltValue="S6XJfdlWhsb7UaECqNQ2Tg==" spinCount="100000" sheet="1" objects="1" scenarios="1" selectLockedCells="1" sort="0" autoFilter="0" pivotTables="0"/>
  <mergeCells count="40">
    <mergeCell ref="G173:G177"/>
    <mergeCell ref="B178:G178"/>
    <mergeCell ref="B173:B177"/>
    <mergeCell ref="C173:F173"/>
    <mergeCell ref="C174:F174"/>
    <mergeCell ref="C175:F175"/>
    <mergeCell ref="C176:F176"/>
    <mergeCell ref="C177:F177"/>
    <mergeCell ref="C168:F168"/>
    <mergeCell ref="G164:G168"/>
    <mergeCell ref="B169:B171"/>
    <mergeCell ref="C169:C171"/>
    <mergeCell ref="C172:F172"/>
    <mergeCell ref="C165:F165"/>
    <mergeCell ref="C166:F166"/>
    <mergeCell ref="C167:F167"/>
    <mergeCell ref="C160:F160"/>
    <mergeCell ref="C161:F161"/>
    <mergeCell ref="C162:F162"/>
    <mergeCell ref="C163:F163"/>
    <mergeCell ref="C164:F164"/>
    <mergeCell ref="B156:G156"/>
    <mergeCell ref="B157:G157"/>
    <mergeCell ref="C158:F158"/>
    <mergeCell ref="C159:F159"/>
    <mergeCell ref="B86:C86"/>
    <mergeCell ref="B89:C89"/>
    <mergeCell ref="B50:K50"/>
    <mergeCell ref="B54:K54"/>
    <mergeCell ref="B5:B6"/>
    <mergeCell ref="C5:C6"/>
    <mergeCell ref="D5:D6"/>
    <mergeCell ref="E5:E6"/>
    <mergeCell ref="F5:H5"/>
    <mergeCell ref="I5:K5"/>
    <mergeCell ref="B7:K7"/>
    <mergeCell ref="B16:K16"/>
    <mergeCell ref="B31:K31"/>
    <mergeCell ref="B37:K37"/>
    <mergeCell ref="B43:K43"/>
  </mergeCells>
  <dataValidations count="1">
    <dataValidation type="list" allowBlank="1" showInputMessage="1" showErrorMessage="1" sqref="B97:B150">
      <formula1>$J$159:$J$169</formula1>
    </dataValidation>
  </dataValidations>
  <pageMargins left="0.7" right="0.7" top="0.75" bottom="0.75" header="0.3" footer="0.3"/>
  <pageSetup paperSize="8" scale="69" orientation="portrait" r:id="rId1"/>
  <rowBreaks count="1" manualBreakCount="1">
    <brk id="15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AF143"/>
  <sheetViews>
    <sheetView zoomScale="85" zoomScaleNormal="85" workbookViewId="0">
      <pane ySplit="6" topLeftCell="A7" activePane="bottomLeft" state="frozen"/>
      <selection activeCell="H54" sqref="H54"/>
      <selection pane="bottomLeft" activeCell="E21" sqref="E21"/>
    </sheetView>
  </sheetViews>
  <sheetFormatPr defaultRowHeight="15" x14ac:dyDescent="0.25"/>
  <cols>
    <col min="2" max="2" width="38.85546875" bestFit="1" customWidth="1"/>
    <col min="3" max="3" width="21.140625" customWidth="1"/>
    <col min="4" max="4" width="21.85546875" customWidth="1"/>
    <col min="5" max="5" width="19.5703125" bestFit="1" customWidth="1"/>
    <col min="6" max="6" width="12.7109375" customWidth="1"/>
    <col min="7" max="7" width="13.85546875" customWidth="1"/>
    <col min="8" max="8" width="13.7109375" customWidth="1"/>
    <col min="9" max="9" width="13.7109375" style="628" customWidth="1"/>
    <col min="10" max="10" width="15.140625" customWidth="1"/>
    <col min="11" max="11" width="12.85546875" customWidth="1"/>
    <col min="12" max="12" width="12.5703125" customWidth="1"/>
    <col min="13" max="13" width="15.7109375" style="628" customWidth="1"/>
    <col min="14" max="14" width="12.5703125" style="628" customWidth="1"/>
    <col min="15" max="15" width="12.5703125" customWidth="1"/>
    <col min="16" max="16" width="12.5703125" style="628" customWidth="1"/>
    <col min="17" max="17" width="15" customWidth="1"/>
    <col min="18" max="18" width="14.140625" customWidth="1"/>
    <col min="19" max="19" width="14.140625" style="628" customWidth="1"/>
    <col min="20" max="20" width="18.42578125" customWidth="1"/>
    <col min="21" max="21" width="18.42578125" style="628" customWidth="1"/>
    <col min="22" max="22" width="18.42578125" customWidth="1"/>
    <col min="23" max="23" width="14.140625" customWidth="1"/>
    <col min="24" max="25" width="14.140625" style="628" customWidth="1"/>
    <col min="26" max="26" width="38.85546875" style="628" customWidth="1"/>
    <col min="27" max="27" width="18.42578125" customWidth="1"/>
    <col min="29" max="29" width="19.140625" customWidth="1"/>
    <col min="30" max="30" width="16.85546875" customWidth="1"/>
    <col min="31" max="31" width="21.5703125" customWidth="1"/>
    <col min="32" max="32" width="18.140625" customWidth="1"/>
  </cols>
  <sheetData>
    <row r="1" spans="1:32" s="20" customFormat="1" ht="15.75" x14ac:dyDescent="0.25">
      <c r="A1" s="20" t="s">
        <v>400</v>
      </c>
    </row>
    <row r="2" spans="1:32" s="63" customFormat="1" ht="15.75" x14ac:dyDescent="0.25"/>
    <row r="3" spans="1:32" s="63" customFormat="1" ht="15.75" x14ac:dyDescent="0.25">
      <c r="B3" s="80" t="s">
        <v>393</v>
      </c>
      <c r="E3" s="407" t="s">
        <v>698</v>
      </c>
    </row>
    <row r="4" spans="1:32" s="63" customFormat="1" ht="16.5" thickBot="1" x14ac:dyDescent="0.3">
      <c r="E4" s="407" t="s">
        <v>903</v>
      </c>
    </row>
    <row r="5" spans="1:32" ht="15.75" thickBot="1" x14ac:dyDescent="0.3">
      <c r="B5" s="31" t="s">
        <v>77</v>
      </c>
      <c r="O5" s="1089" t="str">
        <f>AD5</f>
        <v>Option 1 - Nameplate Power</v>
      </c>
      <c r="P5" s="1090"/>
      <c r="Q5" s="1090"/>
      <c r="R5" s="1090"/>
      <c r="S5" s="1091"/>
      <c r="T5" s="1089" t="str">
        <f>AE5</f>
        <v>Option 2 - Input Power</v>
      </c>
      <c r="U5" s="1090"/>
      <c r="V5" s="1090"/>
      <c r="W5" s="1090"/>
      <c r="X5" s="1090"/>
      <c r="Y5" s="1091"/>
      <c r="Z5" s="671"/>
      <c r="AC5" s="229"/>
      <c r="AD5" s="672" t="s">
        <v>699</v>
      </c>
      <c r="AE5" s="674" t="s">
        <v>698</v>
      </c>
      <c r="AF5" s="675"/>
    </row>
    <row r="6" spans="1:32" ht="75.75" thickBot="1" x14ac:dyDescent="0.3">
      <c r="B6" s="9" t="s">
        <v>55</v>
      </c>
      <c r="C6" s="44" t="s">
        <v>78</v>
      </c>
      <c r="D6" s="10" t="s">
        <v>358</v>
      </c>
      <c r="E6" s="10" t="s">
        <v>86</v>
      </c>
      <c r="F6" s="10" t="s">
        <v>73</v>
      </c>
      <c r="G6" s="10" t="s">
        <v>74</v>
      </c>
      <c r="H6" s="10" t="s">
        <v>75</v>
      </c>
      <c r="I6" s="768" t="s">
        <v>737</v>
      </c>
      <c r="J6" s="10" t="s">
        <v>76</v>
      </c>
      <c r="K6" s="10" t="s">
        <v>741</v>
      </c>
      <c r="L6" s="10" t="s">
        <v>742</v>
      </c>
      <c r="M6" s="681" t="s">
        <v>869</v>
      </c>
      <c r="N6" s="681" t="s">
        <v>865</v>
      </c>
      <c r="O6" s="823" t="s">
        <v>392</v>
      </c>
      <c r="P6" s="824" t="s">
        <v>867</v>
      </c>
      <c r="Q6" s="824" t="s">
        <v>359</v>
      </c>
      <c r="R6" s="824" t="s">
        <v>391</v>
      </c>
      <c r="S6" s="824" t="s">
        <v>868</v>
      </c>
      <c r="T6" s="10" t="s">
        <v>392</v>
      </c>
      <c r="U6" s="10" t="s">
        <v>867</v>
      </c>
      <c r="V6" s="10" t="s">
        <v>359</v>
      </c>
      <c r="W6" s="10" t="s">
        <v>360</v>
      </c>
      <c r="X6" s="10" t="s">
        <v>868</v>
      </c>
      <c r="Y6" s="11" t="s">
        <v>707</v>
      </c>
      <c r="Z6" s="913" t="s">
        <v>302</v>
      </c>
      <c r="AC6" s="228" t="s">
        <v>702</v>
      </c>
      <c r="AD6" s="673" t="s">
        <v>647</v>
      </c>
      <c r="AE6" s="1096" t="s">
        <v>703</v>
      </c>
      <c r="AF6" s="1097"/>
    </row>
    <row r="7" spans="1:32" ht="30" x14ac:dyDescent="0.25">
      <c r="B7" s="338" t="s">
        <v>918</v>
      </c>
      <c r="C7" s="332" t="s">
        <v>919</v>
      </c>
      <c r="D7" s="339"/>
      <c r="E7" s="340"/>
      <c r="F7" s="340"/>
      <c r="G7" s="340"/>
      <c r="H7" s="276">
        <f>E7*F7*G7</f>
        <v>0</v>
      </c>
      <c r="I7" s="340"/>
      <c r="J7" s="340"/>
      <c r="K7" s="340"/>
      <c r="L7" s="340"/>
      <c r="M7" s="339"/>
      <c r="N7" s="914" t="str">
        <f>IF(I7="","NA",IF(M7="",'Building Data schedule'!$C$14,M7))</f>
        <v>NA</v>
      </c>
      <c r="O7" s="696">
        <f>IF(I7=0,0,K7/I7)</f>
        <v>0</v>
      </c>
      <c r="P7" s="895" t="str">
        <f>IFERROR(IF(E4="Use of CO Sensor",K7*N7*52*0.85/1000,K7*N7*52/1000),"")</f>
        <v/>
      </c>
      <c r="Q7" s="920">
        <f>IF(K7&lt;4000,O7,$AD$7)</f>
        <v>0</v>
      </c>
      <c r="R7" s="697">
        <f t="shared" ref="R7:R106" si="0">Q7*H7</f>
        <v>0</v>
      </c>
      <c r="S7" s="896" t="str">
        <f>IFERROR(R7*N7*52/1000,"")</f>
        <v/>
      </c>
      <c r="T7" s="906">
        <f>IF(I7=0,0,L7/I7)</f>
        <v>0</v>
      </c>
      <c r="U7" s="912" t="str">
        <f>IFERROR(IF(E4="Use of CO Sensor",L7*N7*52*0.85/1000,L7*N7*52/1000),"")</f>
        <v/>
      </c>
      <c r="V7" s="688">
        <f>IF(K7&lt;4000,IF(T7&lt;$AE$8,$AE$8,T7),($AE$7+Y7/2340))</f>
        <v>0.17</v>
      </c>
      <c r="W7" s="688">
        <f t="shared" ref="W7:W106" si="1">V7*H7</f>
        <v>0</v>
      </c>
      <c r="X7" s="688" t="str">
        <f>IFERROR(W7*N7*52/1000,"")</f>
        <v/>
      </c>
      <c r="Y7" s="689"/>
      <c r="Z7" s="694"/>
      <c r="AC7" s="26" t="s">
        <v>701</v>
      </c>
      <c r="AD7" s="43">
        <v>0.35</v>
      </c>
      <c r="AE7" s="676">
        <v>0.3</v>
      </c>
      <c r="AF7" s="677" t="s">
        <v>706</v>
      </c>
    </row>
    <row r="8" spans="1:32" ht="30.75" thickBot="1" x14ac:dyDescent="0.3">
      <c r="B8" s="341"/>
      <c r="C8" s="321"/>
      <c r="D8" s="342"/>
      <c r="E8" s="326"/>
      <c r="F8" s="326"/>
      <c r="G8" s="326"/>
      <c r="H8" s="277">
        <f t="shared" ref="H8:H15" si="2">E8*F8*G8</f>
        <v>0</v>
      </c>
      <c r="I8" s="326"/>
      <c r="J8" s="326"/>
      <c r="K8" s="326"/>
      <c r="L8" s="326"/>
      <c r="M8" s="342"/>
      <c r="N8" s="914" t="str">
        <f>IF(I8="","NA",IF(M8="",'Building Data schedule'!$C$14,M8))</f>
        <v>NA</v>
      </c>
      <c r="O8" s="684">
        <f t="shared" ref="O8:O71" si="3">IF(I8=0,0,K8/I8)</f>
        <v>0</v>
      </c>
      <c r="P8" s="892" t="str">
        <f t="shared" ref="P8:P71" si="4">IFERROR(IF(E5="Use of CO Sensor",K8*N8*52*0.85/1000,K8*N8*52/1000),"")</f>
        <v/>
      </c>
      <c r="Q8" s="910">
        <f t="shared" ref="Q8:Q71" si="5">IF(K8&lt;4000,O8,$AD$7)</f>
        <v>0</v>
      </c>
      <c r="R8" s="683">
        <f t="shared" si="0"/>
        <v>0</v>
      </c>
      <c r="S8" s="897" t="str">
        <f t="shared" ref="S8:S71" si="6">IFERROR(R8*N8*52/1000,"")</f>
        <v/>
      </c>
      <c r="T8" s="889">
        <f>IF(H8=0,0,L8/I8)</f>
        <v>0</v>
      </c>
      <c r="U8" s="893" t="str">
        <f t="shared" ref="U8:U71" si="7">IFERROR(IF(E5="Use of CO Sensor",L8*N8*52*0.85/1000,L8*N8*52/1000),"")</f>
        <v/>
      </c>
      <c r="V8" s="683">
        <f t="shared" ref="V8:V71" si="8">IF(K8&lt;4000,IF(T8&lt;$AE$8,$AE$8,T8),($AE$7+Y8/2340))</f>
        <v>0.17</v>
      </c>
      <c r="W8" s="683">
        <f t="shared" si="1"/>
        <v>0</v>
      </c>
      <c r="X8" s="683" t="str">
        <f t="shared" ref="X8:X71" si="9">IFERROR(W8*N8*52/1000,"")</f>
        <v/>
      </c>
      <c r="Y8" s="690"/>
      <c r="Z8" s="695"/>
      <c r="AC8" s="23" t="s">
        <v>390</v>
      </c>
      <c r="AD8" s="32">
        <v>0</v>
      </c>
      <c r="AE8" s="678">
        <v>0.17</v>
      </c>
      <c r="AF8" s="679"/>
    </row>
    <row r="9" spans="1:32" x14ac:dyDescent="0.25">
      <c r="B9" s="341"/>
      <c r="C9" s="321"/>
      <c r="D9" s="342"/>
      <c r="E9" s="326"/>
      <c r="F9" s="326"/>
      <c r="G9" s="326"/>
      <c r="H9" s="277">
        <f t="shared" si="2"/>
        <v>0</v>
      </c>
      <c r="I9" s="326"/>
      <c r="J9" s="326"/>
      <c r="K9" s="326"/>
      <c r="L9" s="326"/>
      <c r="M9" s="342"/>
      <c r="N9" s="914" t="str">
        <f>IF(I9="","NA",IF(M9="",'Building Data schedule'!$C$14,M9))</f>
        <v>NA</v>
      </c>
      <c r="O9" s="684">
        <f t="shared" si="3"/>
        <v>0</v>
      </c>
      <c r="P9" s="892" t="str">
        <f t="shared" si="4"/>
        <v/>
      </c>
      <c r="Q9" s="910">
        <f t="shared" si="5"/>
        <v>0</v>
      </c>
      <c r="R9" s="683">
        <f t="shared" si="0"/>
        <v>0</v>
      </c>
      <c r="S9" s="897" t="str">
        <f t="shared" si="6"/>
        <v/>
      </c>
      <c r="T9" s="889">
        <f t="shared" ref="T9:T106" si="10">IF(H9=0,0,L9/H9)</f>
        <v>0</v>
      </c>
      <c r="U9" s="893" t="str">
        <f t="shared" si="7"/>
        <v/>
      </c>
      <c r="V9" s="683">
        <f t="shared" si="8"/>
        <v>0.17</v>
      </c>
      <c r="W9" s="683">
        <f t="shared" si="1"/>
        <v>0</v>
      </c>
      <c r="X9" s="683" t="str">
        <f t="shared" si="9"/>
        <v/>
      </c>
      <c r="Y9" s="690"/>
      <c r="Z9" s="695"/>
      <c r="AC9" s="628"/>
      <c r="AD9" s="628"/>
      <c r="AE9" s="628"/>
      <c r="AF9" s="628"/>
    </row>
    <row r="10" spans="1:32" x14ac:dyDescent="0.25">
      <c r="B10" s="341"/>
      <c r="C10" s="321"/>
      <c r="D10" s="342"/>
      <c r="E10" s="326"/>
      <c r="F10" s="326"/>
      <c r="G10" s="326"/>
      <c r="H10" s="277">
        <f t="shared" si="2"/>
        <v>0</v>
      </c>
      <c r="I10" s="326"/>
      <c r="J10" s="326"/>
      <c r="K10" s="326"/>
      <c r="L10" s="326"/>
      <c r="M10" s="342"/>
      <c r="N10" s="914" t="str">
        <f>IF(I10="","NA",IF(M10="",'Building Data schedule'!$C$14,M10))</f>
        <v>NA</v>
      </c>
      <c r="O10" s="684">
        <f t="shared" si="3"/>
        <v>0</v>
      </c>
      <c r="P10" s="892" t="str">
        <f t="shared" si="4"/>
        <v/>
      </c>
      <c r="Q10" s="910">
        <f t="shared" si="5"/>
        <v>0</v>
      </c>
      <c r="R10" s="683">
        <f t="shared" si="0"/>
        <v>0</v>
      </c>
      <c r="S10" s="897" t="str">
        <f t="shared" si="6"/>
        <v/>
      </c>
      <c r="T10" s="889">
        <f t="shared" si="10"/>
        <v>0</v>
      </c>
      <c r="U10" s="893" t="str">
        <f t="shared" si="7"/>
        <v/>
      </c>
      <c r="V10" s="683">
        <f t="shared" si="8"/>
        <v>0.17</v>
      </c>
      <c r="W10" s="683">
        <f t="shared" si="1"/>
        <v>0</v>
      </c>
      <c r="X10" s="683" t="str">
        <f t="shared" si="9"/>
        <v/>
      </c>
      <c r="Y10" s="690"/>
      <c r="Z10" s="695"/>
      <c r="AC10" s="670" t="s">
        <v>700</v>
      </c>
      <c r="AD10" s="628"/>
      <c r="AE10" s="628"/>
      <c r="AF10" s="628"/>
    </row>
    <row r="11" spans="1:32" x14ac:dyDescent="0.25">
      <c r="B11" s="341"/>
      <c r="C11" s="321"/>
      <c r="D11" s="342"/>
      <c r="E11" s="326"/>
      <c r="F11" s="326"/>
      <c r="G11" s="326"/>
      <c r="H11" s="277">
        <f t="shared" si="2"/>
        <v>0</v>
      </c>
      <c r="I11" s="326"/>
      <c r="J11" s="326"/>
      <c r="K11" s="326"/>
      <c r="L11" s="326"/>
      <c r="M11" s="342"/>
      <c r="N11" s="914" t="str">
        <f>IF(I11="","NA",IF(M11="",'Building Data schedule'!$C$14,M11))</f>
        <v>NA</v>
      </c>
      <c r="O11" s="684">
        <f t="shared" si="3"/>
        <v>0</v>
      </c>
      <c r="P11" s="892" t="str">
        <f t="shared" si="4"/>
        <v/>
      </c>
      <c r="Q11" s="910">
        <f t="shared" si="5"/>
        <v>0</v>
      </c>
      <c r="R11" s="683">
        <f t="shared" si="0"/>
        <v>0</v>
      </c>
      <c r="S11" s="897" t="str">
        <f t="shared" si="6"/>
        <v/>
      </c>
      <c r="T11" s="889">
        <f t="shared" si="10"/>
        <v>0</v>
      </c>
      <c r="U11" s="893" t="str">
        <f t="shared" si="7"/>
        <v/>
      </c>
      <c r="V11" s="683">
        <f t="shared" si="8"/>
        <v>0.17</v>
      </c>
      <c r="W11" s="683">
        <f t="shared" si="1"/>
        <v>0</v>
      </c>
      <c r="X11" s="683" t="str">
        <f t="shared" si="9"/>
        <v/>
      </c>
      <c r="Y11" s="690"/>
      <c r="Z11" s="695"/>
      <c r="AC11" s="968" t="s">
        <v>704</v>
      </c>
      <c r="AD11" s="968"/>
      <c r="AE11" s="968"/>
      <c r="AF11" s="628"/>
    </row>
    <row r="12" spans="1:32" x14ac:dyDescent="0.25">
      <c r="B12" s="341"/>
      <c r="C12" s="321"/>
      <c r="D12" s="342"/>
      <c r="E12" s="326"/>
      <c r="F12" s="326"/>
      <c r="G12" s="326"/>
      <c r="H12" s="277">
        <f t="shared" si="2"/>
        <v>0</v>
      </c>
      <c r="I12" s="326"/>
      <c r="J12" s="326"/>
      <c r="K12" s="326"/>
      <c r="L12" s="326"/>
      <c r="M12" s="342"/>
      <c r="N12" s="914" t="str">
        <f>IF(I12="","NA",IF(M12="",'Building Data schedule'!$C$14,M12))</f>
        <v>NA</v>
      </c>
      <c r="O12" s="684">
        <f t="shared" si="3"/>
        <v>0</v>
      </c>
      <c r="P12" s="892" t="str">
        <f t="shared" si="4"/>
        <v/>
      </c>
      <c r="Q12" s="910">
        <f t="shared" si="5"/>
        <v>0</v>
      </c>
      <c r="R12" s="683">
        <f t="shared" si="0"/>
        <v>0</v>
      </c>
      <c r="S12" s="897" t="str">
        <f t="shared" si="6"/>
        <v/>
      </c>
      <c r="T12" s="889">
        <f t="shared" si="10"/>
        <v>0</v>
      </c>
      <c r="U12" s="893" t="str">
        <f t="shared" si="7"/>
        <v/>
      </c>
      <c r="V12" s="683">
        <f t="shared" si="8"/>
        <v>0.17</v>
      </c>
      <c r="W12" s="683">
        <f t="shared" si="1"/>
        <v>0</v>
      </c>
      <c r="X12" s="683" t="str">
        <f t="shared" si="9"/>
        <v/>
      </c>
      <c r="Y12" s="690"/>
      <c r="Z12" s="695"/>
      <c r="AC12" s="968"/>
      <c r="AD12" s="968"/>
      <c r="AE12" s="968"/>
      <c r="AF12" s="628"/>
    </row>
    <row r="13" spans="1:32" x14ac:dyDescent="0.25">
      <c r="B13" s="341"/>
      <c r="C13" s="321"/>
      <c r="D13" s="342"/>
      <c r="E13" s="326"/>
      <c r="F13" s="326"/>
      <c r="G13" s="326"/>
      <c r="H13" s="277">
        <f t="shared" si="2"/>
        <v>0</v>
      </c>
      <c r="I13" s="326"/>
      <c r="J13" s="326"/>
      <c r="K13" s="326"/>
      <c r="L13" s="326"/>
      <c r="M13" s="342"/>
      <c r="N13" s="914" t="str">
        <f>IF(I13="","NA",IF(M13="",'Building Data schedule'!$C$14,M13))</f>
        <v>NA</v>
      </c>
      <c r="O13" s="684">
        <f t="shared" si="3"/>
        <v>0</v>
      </c>
      <c r="P13" s="892" t="str">
        <f t="shared" si="4"/>
        <v/>
      </c>
      <c r="Q13" s="910">
        <f t="shared" si="5"/>
        <v>0</v>
      </c>
      <c r="R13" s="683">
        <f t="shared" si="0"/>
        <v>0</v>
      </c>
      <c r="S13" s="897" t="str">
        <f t="shared" si="6"/>
        <v/>
      </c>
      <c r="T13" s="889">
        <f t="shared" si="10"/>
        <v>0</v>
      </c>
      <c r="U13" s="893" t="str">
        <f t="shared" si="7"/>
        <v/>
      </c>
      <c r="V13" s="683">
        <f t="shared" si="8"/>
        <v>0.17</v>
      </c>
      <c r="W13" s="683">
        <f t="shared" si="1"/>
        <v>0</v>
      </c>
      <c r="X13" s="683" t="str">
        <f t="shared" si="9"/>
        <v/>
      </c>
      <c r="Y13" s="690"/>
      <c r="Z13" s="695"/>
      <c r="AC13" s="968" t="s">
        <v>688</v>
      </c>
      <c r="AD13" s="968"/>
      <c r="AE13" s="968"/>
      <c r="AF13" s="628"/>
    </row>
    <row r="14" spans="1:32" x14ac:dyDescent="0.25">
      <c r="B14" s="341"/>
      <c r="C14" s="321"/>
      <c r="D14" s="342"/>
      <c r="E14" s="326"/>
      <c r="F14" s="326"/>
      <c r="G14" s="326"/>
      <c r="H14" s="277">
        <f t="shared" si="2"/>
        <v>0</v>
      </c>
      <c r="I14" s="326"/>
      <c r="J14" s="326"/>
      <c r="K14" s="326"/>
      <c r="L14" s="326"/>
      <c r="M14" s="342"/>
      <c r="N14" s="914" t="str">
        <f>IF(I14="","NA",IF(M14="",'Building Data schedule'!$C$14,M14))</f>
        <v>NA</v>
      </c>
      <c r="O14" s="684">
        <f t="shared" si="3"/>
        <v>0</v>
      </c>
      <c r="P14" s="892" t="str">
        <f t="shared" si="4"/>
        <v/>
      </c>
      <c r="Q14" s="910">
        <f t="shared" si="5"/>
        <v>0</v>
      </c>
      <c r="R14" s="683">
        <f t="shared" si="0"/>
        <v>0</v>
      </c>
      <c r="S14" s="897" t="str">
        <f t="shared" si="6"/>
        <v/>
      </c>
      <c r="T14" s="889">
        <f t="shared" si="10"/>
        <v>0</v>
      </c>
      <c r="U14" s="893" t="str">
        <f t="shared" si="7"/>
        <v/>
      </c>
      <c r="V14" s="683">
        <f t="shared" si="8"/>
        <v>0.17</v>
      </c>
      <c r="W14" s="683">
        <f t="shared" si="1"/>
        <v>0</v>
      </c>
      <c r="X14" s="683" t="str">
        <f t="shared" si="9"/>
        <v/>
      </c>
      <c r="Y14" s="690"/>
      <c r="Z14" s="695"/>
      <c r="AC14" s="968" t="s">
        <v>705</v>
      </c>
      <c r="AD14" s="968"/>
      <c r="AE14" s="968"/>
      <c r="AF14" s="628"/>
    </row>
    <row r="15" spans="1:32" x14ac:dyDescent="0.25">
      <c r="B15" s="341"/>
      <c r="C15" s="321"/>
      <c r="D15" s="342"/>
      <c r="E15" s="326"/>
      <c r="F15" s="326"/>
      <c r="G15" s="326"/>
      <c r="H15" s="277">
        <f t="shared" si="2"/>
        <v>0</v>
      </c>
      <c r="I15" s="326"/>
      <c r="J15" s="326"/>
      <c r="K15" s="326"/>
      <c r="L15" s="326"/>
      <c r="M15" s="342"/>
      <c r="N15" s="914" t="str">
        <f>IF(I15="","NA",IF(M15="",'Building Data schedule'!$C$14,M15))</f>
        <v>NA</v>
      </c>
      <c r="O15" s="684">
        <f t="shared" si="3"/>
        <v>0</v>
      </c>
      <c r="P15" s="892" t="str">
        <f t="shared" si="4"/>
        <v/>
      </c>
      <c r="Q15" s="910">
        <f t="shared" si="5"/>
        <v>0</v>
      </c>
      <c r="R15" s="683">
        <f t="shared" si="0"/>
        <v>0</v>
      </c>
      <c r="S15" s="897" t="str">
        <f t="shared" si="6"/>
        <v/>
      </c>
      <c r="T15" s="889">
        <f t="shared" si="10"/>
        <v>0</v>
      </c>
      <c r="U15" s="893" t="str">
        <f t="shared" si="7"/>
        <v/>
      </c>
      <c r="V15" s="683">
        <f t="shared" si="8"/>
        <v>0.17</v>
      </c>
      <c r="W15" s="683">
        <f t="shared" si="1"/>
        <v>0</v>
      </c>
      <c r="X15" s="683" t="str">
        <f t="shared" si="9"/>
        <v/>
      </c>
      <c r="Y15" s="690"/>
      <c r="Z15" s="695"/>
      <c r="AC15" s="968" t="s">
        <v>689</v>
      </c>
      <c r="AD15" s="968"/>
      <c r="AE15" s="968"/>
      <c r="AF15" s="628"/>
    </row>
    <row r="16" spans="1:32" ht="15" customHeight="1" x14ac:dyDescent="0.25">
      <c r="B16" s="341"/>
      <c r="C16" s="321"/>
      <c r="D16" s="342"/>
      <c r="E16" s="326"/>
      <c r="F16" s="326"/>
      <c r="G16" s="326"/>
      <c r="H16" s="277">
        <f>E16*F16*G16</f>
        <v>0</v>
      </c>
      <c r="I16" s="326"/>
      <c r="J16" s="326"/>
      <c r="K16" s="326"/>
      <c r="L16" s="326"/>
      <c r="M16" s="342"/>
      <c r="N16" s="914" t="str">
        <f>IF(I16="","NA",IF(M16="",'Building Data schedule'!$C$14,M16))</f>
        <v>NA</v>
      </c>
      <c r="O16" s="684">
        <f t="shared" si="3"/>
        <v>0</v>
      </c>
      <c r="P16" s="892" t="str">
        <f t="shared" si="4"/>
        <v/>
      </c>
      <c r="Q16" s="910">
        <f t="shared" si="5"/>
        <v>0</v>
      </c>
      <c r="R16" s="683">
        <f t="shared" si="0"/>
        <v>0</v>
      </c>
      <c r="S16" s="897" t="str">
        <f t="shared" si="6"/>
        <v/>
      </c>
      <c r="T16" s="889">
        <f t="shared" si="10"/>
        <v>0</v>
      </c>
      <c r="U16" s="893" t="str">
        <f t="shared" si="7"/>
        <v/>
      </c>
      <c r="V16" s="683">
        <f t="shared" si="8"/>
        <v>0.17</v>
      </c>
      <c r="W16" s="683">
        <f t="shared" si="1"/>
        <v>0</v>
      </c>
      <c r="X16" s="683" t="str">
        <f t="shared" si="9"/>
        <v/>
      </c>
      <c r="Y16" s="690"/>
      <c r="Z16" s="695"/>
      <c r="AC16" s="968" t="s">
        <v>739</v>
      </c>
      <c r="AD16" s="968"/>
      <c r="AE16" s="968"/>
      <c r="AF16" s="628"/>
    </row>
    <row r="17" spans="2:32" x14ac:dyDescent="0.25">
      <c r="B17" s="341"/>
      <c r="C17" s="321"/>
      <c r="D17" s="342"/>
      <c r="E17" s="326"/>
      <c r="F17" s="326"/>
      <c r="G17" s="326"/>
      <c r="H17" s="277">
        <f t="shared" ref="H17:H24" si="11">E17*F17*G17</f>
        <v>0</v>
      </c>
      <c r="I17" s="326"/>
      <c r="J17" s="326"/>
      <c r="K17" s="326"/>
      <c r="L17" s="326"/>
      <c r="M17" s="342"/>
      <c r="N17" s="914" t="str">
        <f>IF(I17="","NA",IF(M17="",'Building Data schedule'!$C$14,M17))</f>
        <v>NA</v>
      </c>
      <c r="O17" s="684">
        <f t="shared" si="3"/>
        <v>0</v>
      </c>
      <c r="P17" s="892" t="str">
        <f t="shared" si="4"/>
        <v/>
      </c>
      <c r="Q17" s="910">
        <f t="shared" si="5"/>
        <v>0</v>
      </c>
      <c r="R17" s="683">
        <f t="shared" si="0"/>
        <v>0</v>
      </c>
      <c r="S17" s="897" t="str">
        <f t="shared" si="6"/>
        <v/>
      </c>
      <c r="T17" s="889">
        <f t="shared" si="10"/>
        <v>0</v>
      </c>
      <c r="U17" s="893" t="str">
        <f t="shared" si="7"/>
        <v/>
      </c>
      <c r="V17" s="683">
        <f t="shared" si="8"/>
        <v>0.17</v>
      </c>
      <c r="W17" s="683">
        <f t="shared" si="1"/>
        <v>0</v>
      </c>
      <c r="X17" s="683" t="str">
        <f t="shared" si="9"/>
        <v/>
      </c>
      <c r="Y17" s="690"/>
      <c r="Z17" s="695"/>
      <c r="AC17" s="968"/>
      <c r="AD17" s="968"/>
      <c r="AE17" s="968"/>
      <c r="AF17" s="628"/>
    </row>
    <row r="18" spans="2:32" ht="15" customHeight="1" x14ac:dyDescent="0.25">
      <c r="B18" s="341"/>
      <c r="C18" s="321"/>
      <c r="D18" s="342"/>
      <c r="E18" s="326"/>
      <c r="F18" s="326"/>
      <c r="G18" s="326"/>
      <c r="H18" s="277">
        <f t="shared" si="11"/>
        <v>0</v>
      </c>
      <c r="I18" s="326"/>
      <c r="J18" s="326"/>
      <c r="K18" s="326"/>
      <c r="L18" s="326"/>
      <c r="M18" s="342"/>
      <c r="N18" s="914" t="str">
        <f>IF(I18="","NA",IF(M18="",'Building Data schedule'!$C$14,M18))</f>
        <v>NA</v>
      </c>
      <c r="O18" s="684">
        <f t="shared" si="3"/>
        <v>0</v>
      </c>
      <c r="P18" s="892" t="str">
        <f t="shared" si="4"/>
        <v/>
      </c>
      <c r="Q18" s="910">
        <f t="shared" si="5"/>
        <v>0</v>
      </c>
      <c r="R18" s="683">
        <f t="shared" si="0"/>
        <v>0</v>
      </c>
      <c r="S18" s="897" t="str">
        <f t="shared" si="6"/>
        <v/>
      </c>
      <c r="T18" s="889">
        <f t="shared" si="10"/>
        <v>0</v>
      </c>
      <c r="U18" s="893" t="str">
        <f t="shared" si="7"/>
        <v/>
      </c>
      <c r="V18" s="683">
        <f t="shared" si="8"/>
        <v>0.17</v>
      </c>
      <c r="W18" s="683">
        <f t="shared" si="1"/>
        <v>0</v>
      </c>
      <c r="X18" s="683" t="str">
        <f t="shared" si="9"/>
        <v/>
      </c>
      <c r="Y18" s="690"/>
      <c r="Z18" s="695"/>
      <c r="AC18" s="968" t="s">
        <v>740</v>
      </c>
      <c r="AD18" s="968"/>
      <c r="AE18" s="968"/>
      <c r="AF18" s="628"/>
    </row>
    <row r="19" spans="2:32" x14ac:dyDescent="0.25">
      <c r="B19" s="341"/>
      <c r="C19" s="321"/>
      <c r="D19" s="342"/>
      <c r="E19" s="326"/>
      <c r="F19" s="326"/>
      <c r="G19" s="326"/>
      <c r="H19" s="277">
        <f t="shared" si="11"/>
        <v>0</v>
      </c>
      <c r="I19" s="326"/>
      <c r="J19" s="326"/>
      <c r="K19" s="326"/>
      <c r="L19" s="326"/>
      <c r="M19" s="342"/>
      <c r="N19" s="914" t="str">
        <f>IF(I19="","NA",IF(M19="",'Building Data schedule'!$C$14,M19))</f>
        <v>NA</v>
      </c>
      <c r="O19" s="684">
        <f t="shared" si="3"/>
        <v>0</v>
      </c>
      <c r="P19" s="892" t="str">
        <f t="shared" si="4"/>
        <v/>
      </c>
      <c r="Q19" s="910">
        <f t="shared" si="5"/>
        <v>0</v>
      </c>
      <c r="R19" s="683">
        <f t="shared" si="0"/>
        <v>0</v>
      </c>
      <c r="S19" s="897" t="str">
        <f t="shared" si="6"/>
        <v/>
      </c>
      <c r="T19" s="889">
        <f t="shared" si="10"/>
        <v>0</v>
      </c>
      <c r="U19" s="893" t="str">
        <f t="shared" si="7"/>
        <v/>
      </c>
      <c r="V19" s="683">
        <f t="shared" si="8"/>
        <v>0.17</v>
      </c>
      <c r="W19" s="683">
        <f t="shared" si="1"/>
        <v>0</v>
      </c>
      <c r="X19" s="683" t="str">
        <f t="shared" si="9"/>
        <v/>
      </c>
      <c r="Y19" s="690"/>
      <c r="Z19" s="695"/>
      <c r="AC19" s="968"/>
      <c r="AD19" s="968"/>
      <c r="AE19" s="968"/>
      <c r="AF19" s="628"/>
    </row>
    <row r="20" spans="2:32" x14ac:dyDescent="0.25">
      <c r="B20" s="341"/>
      <c r="C20" s="321"/>
      <c r="D20" s="342"/>
      <c r="E20" s="326"/>
      <c r="F20" s="326"/>
      <c r="G20" s="326"/>
      <c r="H20" s="277">
        <f t="shared" si="11"/>
        <v>0</v>
      </c>
      <c r="I20" s="326"/>
      <c r="J20" s="326"/>
      <c r="K20" s="326"/>
      <c r="L20" s="326"/>
      <c r="M20" s="342"/>
      <c r="N20" s="914" t="str">
        <f>IF(I20="","NA",IF(M20="",'Building Data schedule'!$C$14,M20))</f>
        <v>NA</v>
      </c>
      <c r="O20" s="684">
        <f t="shared" si="3"/>
        <v>0</v>
      </c>
      <c r="P20" s="892" t="str">
        <f t="shared" si="4"/>
        <v/>
      </c>
      <c r="Q20" s="910">
        <f t="shared" si="5"/>
        <v>0</v>
      </c>
      <c r="R20" s="683">
        <f t="shared" si="0"/>
        <v>0</v>
      </c>
      <c r="S20" s="897" t="str">
        <f t="shared" si="6"/>
        <v/>
      </c>
      <c r="T20" s="889">
        <f t="shared" si="10"/>
        <v>0</v>
      </c>
      <c r="U20" s="893" t="str">
        <f t="shared" si="7"/>
        <v/>
      </c>
      <c r="V20" s="683">
        <f t="shared" si="8"/>
        <v>0.17</v>
      </c>
      <c r="W20" s="683">
        <f t="shared" si="1"/>
        <v>0</v>
      </c>
      <c r="X20" s="683" t="str">
        <f t="shared" si="9"/>
        <v/>
      </c>
      <c r="Y20" s="690"/>
      <c r="Z20" s="695"/>
      <c r="AC20" s="5"/>
      <c r="AD20" s="5"/>
      <c r="AE20" s="5"/>
    </row>
    <row r="21" spans="2:32" x14ac:dyDescent="0.25">
      <c r="B21" s="341"/>
      <c r="C21" s="321"/>
      <c r="D21" s="342"/>
      <c r="E21" s="326"/>
      <c r="F21" s="326"/>
      <c r="G21" s="326"/>
      <c r="H21" s="277">
        <f t="shared" si="11"/>
        <v>0</v>
      </c>
      <c r="I21" s="326"/>
      <c r="J21" s="326"/>
      <c r="K21" s="326"/>
      <c r="L21" s="326"/>
      <c r="M21" s="342"/>
      <c r="N21" s="914" t="str">
        <f>IF(I21="","NA",IF(M21="",'Building Data schedule'!$C$14,M21))</f>
        <v>NA</v>
      </c>
      <c r="O21" s="684">
        <f t="shared" si="3"/>
        <v>0</v>
      </c>
      <c r="P21" s="892" t="str">
        <f t="shared" si="4"/>
        <v/>
      </c>
      <c r="Q21" s="910">
        <f t="shared" si="5"/>
        <v>0</v>
      </c>
      <c r="R21" s="683">
        <f t="shared" si="0"/>
        <v>0</v>
      </c>
      <c r="S21" s="897" t="str">
        <f t="shared" si="6"/>
        <v/>
      </c>
      <c r="T21" s="889">
        <f t="shared" si="10"/>
        <v>0</v>
      </c>
      <c r="U21" s="893" t="str">
        <f t="shared" si="7"/>
        <v/>
      </c>
      <c r="V21" s="683">
        <f t="shared" si="8"/>
        <v>0.17</v>
      </c>
      <c r="W21" s="683">
        <f t="shared" si="1"/>
        <v>0</v>
      </c>
      <c r="X21" s="683" t="str">
        <f t="shared" si="9"/>
        <v/>
      </c>
      <c r="Y21" s="690"/>
      <c r="Z21" s="695"/>
      <c r="AC21" s="5"/>
      <c r="AD21" s="5"/>
      <c r="AE21" s="5"/>
    </row>
    <row r="22" spans="2:32" x14ac:dyDescent="0.25">
      <c r="B22" s="341"/>
      <c r="C22" s="321"/>
      <c r="D22" s="342"/>
      <c r="E22" s="326"/>
      <c r="F22" s="326"/>
      <c r="G22" s="326"/>
      <c r="H22" s="277">
        <f t="shared" si="11"/>
        <v>0</v>
      </c>
      <c r="I22" s="326"/>
      <c r="J22" s="326"/>
      <c r="K22" s="326"/>
      <c r="L22" s="326"/>
      <c r="M22" s="342"/>
      <c r="N22" s="914" t="str">
        <f>IF(I22="","NA",IF(M22="",'Building Data schedule'!$C$14,M22))</f>
        <v>NA</v>
      </c>
      <c r="O22" s="684">
        <f t="shared" si="3"/>
        <v>0</v>
      </c>
      <c r="P22" s="892" t="str">
        <f t="shared" si="4"/>
        <v/>
      </c>
      <c r="Q22" s="910">
        <f t="shared" si="5"/>
        <v>0</v>
      </c>
      <c r="R22" s="683">
        <f t="shared" si="0"/>
        <v>0</v>
      </c>
      <c r="S22" s="897" t="str">
        <f t="shared" si="6"/>
        <v/>
      </c>
      <c r="T22" s="889">
        <f t="shared" si="10"/>
        <v>0</v>
      </c>
      <c r="U22" s="893" t="str">
        <f t="shared" si="7"/>
        <v/>
      </c>
      <c r="V22" s="683">
        <f t="shared" si="8"/>
        <v>0.17</v>
      </c>
      <c r="W22" s="683">
        <f t="shared" si="1"/>
        <v>0</v>
      </c>
      <c r="X22" s="683" t="str">
        <f t="shared" si="9"/>
        <v/>
      </c>
      <c r="Y22" s="690"/>
      <c r="Z22" s="695"/>
      <c r="AC22" s="5"/>
      <c r="AD22" s="5"/>
      <c r="AE22" s="5"/>
    </row>
    <row r="23" spans="2:32" x14ac:dyDescent="0.25">
      <c r="B23" s="341"/>
      <c r="C23" s="321"/>
      <c r="D23" s="342"/>
      <c r="E23" s="326"/>
      <c r="F23" s="326"/>
      <c r="G23" s="326"/>
      <c r="H23" s="277">
        <f t="shared" si="11"/>
        <v>0</v>
      </c>
      <c r="I23" s="326"/>
      <c r="J23" s="326"/>
      <c r="K23" s="326"/>
      <c r="L23" s="326"/>
      <c r="M23" s="342"/>
      <c r="N23" s="914" t="str">
        <f>IF(I23="","NA",IF(M23="",'Building Data schedule'!$C$14,M23))</f>
        <v>NA</v>
      </c>
      <c r="O23" s="684">
        <f t="shared" si="3"/>
        <v>0</v>
      </c>
      <c r="P23" s="892" t="str">
        <f t="shared" si="4"/>
        <v/>
      </c>
      <c r="Q23" s="910">
        <f t="shared" si="5"/>
        <v>0</v>
      </c>
      <c r="R23" s="683">
        <f t="shared" si="0"/>
        <v>0</v>
      </c>
      <c r="S23" s="897" t="str">
        <f t="shared" si="6"/>
        <v/>
      </c>
      <c r="T23" s="889">
        <f t="shared" si="10"/>
        <v>0</v>
      </c>
      <c r="U23" s="893" t="str">
        <f t="shared" si="7"/>
        <v/>
      </c>
      <c r="V23" s="683">
        <f t="shared" si="8"/>
        <v>0.17</v>
      </c>
      <c r="W23" s="683">
        <f t="shared" si="1"/>
        <v>0</v>
      </c>
      <c r="X23" s="683" t="str">
        <f t="shared" si="9"/>
        <v/>
      </c>
      <c r="Y23" s="690"/>
      <c r="Z23" s="695"/>
      <c r="AC23" s="5"/>
      <c r="AD23" s="5"/>
      <c r="AE23" s="5"/>
    </row>
    <row r="24" spans="2:32" x14ac:dyDescent="0.25">
      <c r="B24" s="341"/>
      <c r="C24" s="321"/>
      <c r="D24" s="342"/>
      <c r="E24" s="326"/>
      <c r="F24" s="326"/>
      <c r="G24" s="326"/>
      <c r="H24" s="277">
        <f t="shared" si="11"/>
        <v>0</v>
      </c>
      <c r="I24" s="326"/>
      <c r="J24" s="326"/>
      <c r="K24" s="326"/>
      <c r="L24" s="326"/>
      <c r="M24" s="342"/>
      <c r="N24" s="914" t="str">
        <f>IF(I24="","NA",IF(M24="",'Building Data schedule'!$C$14,M24))</f>
        <v>NA</v>
      </c>
      <c r="O24" s="684">
        <f t="shared" si="3"/>
        <v>0</v>
      </c>
      <c r="P24" s="892" t="str">
        <f t="shared" si="4"/>
        <v/>
      </c>
      <c r="Q24" s="910">
        <f t="shared" si="5"/>
        <v>0</v>
      </c>
      <c r="R24" s="683">
        <f t="shared" si="0"/>
        <v>0</v>
      </c>
      <c r="S24" s="897" t="str">
        <f t="shared" si="6"/>
        <v/>
      </c>
      <c r="T24" s="889">
        <f t="shared" si="10"/>
        <v>0</v>
      </c>
      <c r="U24" s="893" t="str">
        <f t="shared" si="7"/>
        <v/>
      </c>
      <c r="V24" s="683">
        <f t="shared" si="8"/>
        <v>0.17</v>
      </c>
      <c r="W24" s="683">
        <f t="shared" si="1"/>
        <v>0</v>
      </c>
      <c r="X24" s="683" t="str">
        <f t="shared" si="9"/>
        <v/>
      </c>
      <c r="Y24" s="690"/>
      <c r="Z24" s="695"/>
      <c r="AC24" s="8"/>
      <c r="AD24" s="5"/>
      <c r="AE24" s="5"/>
    </row>
    <row r="25" spans="2:32" x14ac:dyDescent="0.25">
      <c r="B25" s="341"/>
      <c r="C25" s="321"/>
      <c r="D25" s="342"/>
      <c r="E25" s="326"/>
      <c r="F25" s="326"/>
      <c r="G25" s="326"/>
      <c r="H25" s="277">
        <f>E25*F25*G25</f>
        <v>0</v>
      </c>
      <c r="I25" s="326"/>
      <c r="J25" s="326"/>
      <c r="K25" s="326"/>
      <c r="L25" s="326"/>
      <c r="M25" s="342"/>
      <c r="N25" s="914" t="str">
        <f>IF(I25="","NA",IF(M25="",'Building Data schedule'!$C$14,M25))</f>
        <v>NA</v>
      </c>
      <c r="O25" s="684">
        <f t="shared" si="3"/>
        <v>0</v>
      </c>
      <c r="P25" s="892" t="str">
        <f t="shared" si="4"/>
        <v/>
      </c>
      <c r="Q25" s="910">
        <f t="shared" si="5"/>
        <v>0</v>
      </c>
      <c r="R25" s="683">
        <f t="shared" si="0"/>
        <v>0</v>
      </c>
      <c r="S25" s="897" t="str">
        <f t="shared" si="6"/>
        <v/>
      </c>
      <c r="T25" s="889">
        <f t="shared" si="10"/>
        <v>0</v>
      </c>
      <c r="U25" s="893" t="str">
        <f t="shared" si="7"/>
        <v/>
      </c>
      <c r="V25" s="683">
        <f t="shared" si="8"/>
        <v>0.17</v>
      </c>
      <c r="W25" s="683">
        <f t="shared" si="1"/>
        <v>0</v>
      </c>
      <c r="X25" s="683" t="str">
        <f t="shared" si="9"/>
        <v/>
      </c>
      <c r="Y25" s="690"/>
      <c r="Z25" s="695"/>
      <c r="AC25" s="8"/>
      <c r="AD25" s="5"/>
      <c r="AE25" s="5"/>
    </row>
    <row r="26" spans="2:32" x14ac:dyDescent="0.25">
      <c r="B26" s="341"/>
      <c r="C26" s="321"/>
      <c r="D26" s="342"/>
      <c r="E26" s="326"/>
      <c r="F26" s="326"/>
      <c r="G26" s="326"/>
      <c r="H26" s="277">
        <f>E26*F26*G26</f>
        <v>0</v>
      </c>
      <c r="I26" s="326"/>
      <c r="J26" s="326"/>
      <c r="K26" s="326"/>
      <c r="L26" s="326"/>
      <c r="M26" s="342"/>
      <c r="N26" s="914" t="str">
        <f>IF(I26="","NA",IF(M26="",'Building Data schedule'!$C$14,M26))</f>
        <v>NA</v>
      </c>
      <c r="O26" s="684">
        <f t="shared" si="3"/>
        <v>0</v>
      </c>
      <c r="P26" s="892" t="str">
        <f t="shared" si="4"/>
        <v/>
      </c>
      <c r="Q26" s="910">
        <f t="shared" si="5"/>
        <v>0</v>
      </c>
      <c r="R26" s="683">
        <f t="shared" si="0"/>
        <v>0</v>
      </c>
      <c r="S26" s="897" t="str">
        <f t="shared" si="6"/>
        <v/>
      </c>
      <c r="T26" s="889">
        <f t="shared" si="10"/>
        <v>0</v>
      </c>
      <c r="U26" s="893" t="str">
        <f t="shared" si="7"/>
        <v/>
      </c>
      <c r="V26" s="683">
        <f t="shared" si="8"/>
        <v>0.17</v>
      </c>
      <c r="W26" s="683">
        <f t="shared" si="1"/>
        <v>0</v>
      </c>
      <c r="X26" s="683" t="str">
        <f t="shared" si="9"/>
        <v/>
      </c>
      <c r="Y26" s="690"/>
      <c r="Z26" s="695"/>
      <c r="AC26" s="8"/>
      <c r="AD26" s="5"/>
      <c r="AE26" s="5"/>
    </row>
    <row r="27" spans="2:32" x14ac:dyDescent="0.25">
      <c r="B27" s="341"/>
      <c r="C27" s="321"/>
      <c r="D27" s="342"/>
      <c r="E27" s="326"/>
      <c r="F27" s="326"/>
      <c r="G27" s="326"/>
      <c r="H27" s="277">
        <f t="shared" ref="H27:H34" si="12">E27*F27*G27</f>
        <v>0</v>
      </c>
      <c r="I27" s="326"/>
      <c r="J27" s="326"/>
      <c r="K27" s="326"/>
      <c r="L27" s="326"/>
      <c r="M27" s="342"/>
      <c r="N27" s="914" t="str">
        <f>IF(I27="","NA",IF(M27="",'Building Data schedule'!$C$14,M27))</f>
        <v>NA</v>
      </c>
      <c r="O27" s="684">
        <f t="shared" si="3"/>
        <v>0</v>
      </c>
      <c r="P27" s="892" t="str">
        <f t="shared" si="4"/>
        <v/>
      </c>
      <c r="Q27" s="910">
        <f t="shared" si="5"/>
        <v>0</v>
      </c>
      <c r="R27" s="683">
        <f t="shared" si="0"/>
        <v>0</v>
      </c>
      <c r="S27" s="897" t="str">
        <f t="shared" si="6"/>
        <v/>
      </c>
      <c r="T27" s="889">
        <f t="shared" si="10"/>
        <v>0</v>
      </c>
      <c r="U27" s="893" t="str">
        <f t="shared" si="7"/>
        <v/>
      </c>
      <c r="V27" s="683">
        <f t="shared" si="8"/>
        <v>0.17</v>
      </c>
      <c r="W27" s="683">
        <f t="shared" si="1"/>
        <v>0</v>
      </c>
      <c r="X27" s="683" t="str">
        <f t="shared" si="9"/>
        <v/>
      </c>
      <c r="Y27" s="690"/>
      <c r="Z27" s="695"/>
      <c r="AC27" s="8"/>
      <c r="AD27" s="5"/>
      <c r="AE27" s="5"/>
    </row>
    <row r="28" spans="2:32" x14ac:dyDescent="0.25">
      <c r="B28" s="341"/>
      <c r="C28" s="321"/>
      <c r="D28" s="342"/>
      <c r="E28" s="326"/>
      <c r="F28" s="326"/>
      <c r="G28" s="326"/>
      <c r="H28" s="277">
        <f t="shared" si="12"/>
        <v>0</v>
      </c>
      <c r="I28" s="326"/>
      <c r="J28" s="326"/>
      <c r="K28" s="326"/>
      <c r="L28" s="326"/>
      <c r="M28" s="342"/>
      <c r="N28" s="914" t="str">
        <f>IF(I28="","NA",IF(M28="",'Building Data schedule'!$C$14,M28))</f>
        <v>NA</v>
      </c>
      <c r="O28" s="684">
        <f t="shared" si="3"/>
        <v>0</v>
      </c>
      <c r="P28" s="892" t="str">
        <f t="shared" si="4"/>
        <v/>
      </c>
      <c r="Q28" s="910">
        <f t="shared" si="5"/>
        <v>0</v>
      </c>
      <c r="R28" s="683">
        <f t="shared" si="0"/>
        <v>0</v>
      </c>
      <c r="S28" s="897" t="str">
        <f t="shared" si="6"/>
        <v/>
      </c>
      <c r="T28" s="889">
        <f t="shared" si="10"/>
        <v>0</v>
      </c>
      <c r="U28" s="893" t="str">
        <f t="shared" si="7"/>
        <v/>
      </c>
      <c r="V28" s="683">
        <f t="shared" si="8"/>
        <v>0.17</v>
      </c>
      <c r="W28" s="683">
        <f t="shared" si="1"/>
        <v>0</v>
      </c>
      <c r="X28" s="683" t="str">
        <f t="shared" si="9"/>
        <v/>
      </c>
      <c r="Y28" s="690"/>
      <c r="Z28" s="695"/>
      <c r="AC28" s="5"/>
      <c r="AD28" s="5"/>
      <c r="AE28" s="5"/>
    </row>
    <row r="29" spans="2:32" x14ac:dyDescent="0.25">
      <c r="B29" s="341"/>
      <c r="C29" s="321"/>
      <c r="D29" s="342"/>
      <c r="E29" s="326"/>
      <c r="F29" s="326"/>
      <c r="G29" s="326"/>
      <c r="H29" s="277">
        <f t="shared" si="12"/>
        <v>0</v>
      </c>
      <c r="I29" s="326"/>
      <c r="J29" s="326"/>
      <c r="K29" s="326"/>
      <c r="L29" s="326"/>
      <c r="M29" s="342"/>
      <c r="N29" s="914" t="str">
        <f>IF(I29="","NA",IF(M29="",'Building Data schedule'!$C$14,M29))</f>
        <v>NA</v>
      </c>
      <c r="O29" s="684">
        <f t="shared" si="3"/>
        <v>0</v>
      </c>
      <c r="P29" s="892" t="str">
        <f t="shared" si="4"/>
        <v/>
      </c>
      <c r="Q29" s="910">
        <f t="shared" si="5"/>
        <v>0</v>
      </c>
      <c r="R29" s="683">
        <f t="shared" si="0"/>
        <v>0</v>
      </c>
      <c r="S29" s="897" t="str">
        <f t="shared" si="6"/>
        <v/>
      </c>
      <c r="T29" s="889">
        <f t="shared" si="10"/>
        <v>0</v>
      </c>
      <c r="U29" s="893" t="str">
        <f t="shared" si="7"/>
        <v/>
      </c>
      <c r="V29" s="683">
        <f t="shared" si="8"/>
        <v>0.17</v>
      </c>
      <c r="W29" s="683">
        <f t="shared" si="1"/>
        <v>0</v>
      </c>
      <c r="X29" s="683" t="str">
        <f t="shared" si="9"/>
        <v/>
      </c>
      <c r="Y29" s="690"/>
      <c r="Z29" s="695"/>
      <c r="AC29" s="5"/>
      <c r="AD29" s="5"/>
      <c r="AE29" s="5"/>
    </row>
    <row r="30" spans="2:32" x14ac:dyDescent="0.25">
      <c r="B30" s="341"/>
      <c r="C30" s="321"/>
      <c r="D30" s="342"/>
      <c r="E30" s="326"/>
      <c r="F30" s="326"/>
      <c r="G30" s="326"/>
      <c r="H30" s="277">
        <f t="shared" si="12"/>
        <v>0</v>
      </c>
      <c r="I30" s="326"/>
      <c r="J30" s="326"/>
      <c r="K30" s="326"/>
      <c r="L30" s="326"/>
      <c r="M30" s="342"/>
      <c r="N30" s="914" t="str">
        <f>IF(I30="","NA",IF(M30="",'Building Data schedule'!$C$14,M30))</f>
        <v>NA</v>
      </c>
      <c r="O30" s="684">
        <f t="shared" si="3"/>
        <v>0</v>
      </c>
      <c r="P30" s="892" t="str">
        <f t="shared" si="4"/>
        <v/>
      </c>
      <c r="Q30" s="910">
        <f t="shared" si="5"/>
        <v>0</v>
      </c>
      <c r="R30" s="683">
        <f t="shared" si="0"/>
        <v>0</v>
      </c>
      <c r="S30" s="897" t="str">
        <f t="shared" si="6"/>
        <v/>
      </c>
      <c r="T30" s="889">
        <f t="shared" si="10"/>
        <v>0</v>
      </c>
      <c r="U30" s="893" t="str">
        <f t="shared" si="7"/>
        <v/>
      </c>
      <c r="V30" s="683">
        <f t="shared" si="8"/>
        <v>0.17</v>
      </c>
      <c r="W30" s="683">
        <f t="shared" si="1"/>
        <v>0</v>
      </c>
      <c r="X30" s="683" t="str">
        <f t="shared" si="9"/>
        <v/>
      </c>
      <c r="Y30" s="690"/>
      <c r="Z30" s="695"/>
      <c r="AC30" s="5"/>
      <c r="AD30" s="5"/>
      <c r="AE30" s="5"/>
    </row>
    <row r="31" spans="2:32" x14ac:dyDescent="0.25">
      <c r="B31" s="341"/>
      <c r="C31" s="321"/>
      <c r="D31" s="342"/>
      <c r="E31" s="326"/>
      <c r="F31" s="326"/>
      <c r="G31" s="326"/>
      <c r="H31" s="277">
        <f t="shared" si="12"/>
        <v>0</v>
      </c>
      <c r="I31" s="326"/>
      <c r="J31" s="326"/>
      <c r="K31" s="326"/>
      <c r="L31" s="326"/>
      <c r="M31" s="342"/>
      <c r="N31" s="914" t="str">
        <f>IF(I31="","NA",IF(M31="",'Building Data schedule'!$C$14,M31))</f>
        <v>NA</v>
      </c>
      <c r="O31" s="684">
        <f t="shared" si="3"/>
        <v>0</v>
      </c>
      <c r="P31" s="892" t="str">
        <f t="shared" si="4"/>
        <v/>
      </c>
      <c r="Q31" s="910">
        <f t="shared" si="5"/>
        <v>0</v>
      </c>
      <c r="R31" s="683">
        <f t="shared" si="0"/>
        <v>0</v>
      </c>
      <c r="S31" s="897" t="str">
        <f t="shared" si="6"/>
        <v/>
      </c>
      <c r="T31" s="889">
        <f t="shared" si="10"/>
        <v>0</v>
      </c>
      <c r="U31" s="893" t="str">
        <f t="shared" si="7"/>
        <v/>
      </c>
      <c r="V31" s="683">
        <f t="shared" si="8"/>
        <v>0.17</v>
      </c>
      <c r="W31" s="683">
        <f t="shared" si="1"/>
        <v>0</v>
      </c>
      <c r="X31" s="683" t="str">
        <f t="shared" si="9"/>
        <v/>
      </c>
      <c r="Y31" s="690"/>
      <c r="Z31" s="695"/>
      <c r="AC31" s="5"/>
      <c r="AD31" s="5"/>
      <c r="AE31" s="5"/>
    </row>
    <row r="32" spans="2:32" x14ac:dyDescent="0.25">
      <c r="B32" s="341"/>
      <c r="C32" s="321"/>
      <c r="D32" s="342"/>
      <c r="E32" s="326"/>
      <c r="F32" s="326"/>
      <c r="G32" s="326"/>
      <c r="H32" s="277">
        <f t="shared" si="12"/>
        <v>0</v>
      </c>
      <c r="I32" s="326"/>
      <c r="J32" s="326"/>
      <c r="K32" s="326"/>
      <c r="L32" s="326"/>
      <c r="M32" s="342"/>
      <c r="N32" s="914" t="str">
        <f>IF(I32="","NA",IF(M32="",'Building Data schedule'!$C$14,M32))</f>
        <v>NA</v>
      </c>
      <c r="O32" s="684">
        <f t="shared" si="3"/>
        <v>0</v>
      </c>
      <c r="P32" s="892" t="str">
        <f t="shared" si="4"/>
        <v/>
      </c>
      <c r="Q32" s="910">
        <f t="shared" si="5"/>
        <v>0</v>
      </c>
      <c r="R32" s="683">
        <f t="shared" si="0"/>
        <v>0</v>
      </c>
      <c r="S32" s="897" t="str">
        <f t="shared" si="6"/>
        <v/>
      </c>
      <c r="T32" s="889">
        <f t="shared" si="10"/>
        <v>0</v>
      </c>
      <c r="U32" s="893" t="str">
        <f t="shared" si="7"/>
        <v/>
      </c>
      <c r="V32" s="683">
        <f t="shared" si="8"/>
        <v>0.17</v>
      </c>
      <c r="W32" s="683">
        <f t="shared" si="1"/>
        <v>0</v>
      </c>
      <c r="X32" s="683" t="str">
        <f t="shared" si="9"/>
        <v/>
      </c>
      <c r="Y32" s="690"/>
      <c r="Z32" s="695"/>
      <c r="AC32" s="5"/>
      <c r="AD32" s="5"/>
      <c r="AE32" s="5"/>
    </row>
    <row r="33" spans="2:31" x14ac:dyDescent="0.25">
      <c r="B33" s="341"/>
      <c r="C33" s="321"/>
      <c r="D33" s="342"/>
      <c r="E33" s="326"/>
      <c r="F33" s="326"/>
      <c r="G33" s="326"/>
      <c r="H33" s="277">
        <f t="shared" si="12"/>
        <v>0</v>
      </c>
      <c r="I33" s="326"/>
      <c r="J33" s="326"/>
      <c r="K33" s="326"/>
      <c r="L33" s="326"/>
      <c r="M33" s="342"/>
      <c r="N33" s="914" t="str">
        <f>IF(I33="","NA",IF(M33="",'Building Data schedule'!$C$14,M33))</f>
        <v>NA</v>
      </c>
      <c r="O33" s="684">
        <f t="shared" si="3"/>
        <v>0</v>
      </c>
      <c r="P33" s="892" t="str">
        <f t="shared" si="4"/>
        <v/>
      </c>
      <c r="Q33" s="910">
        <f t="shared" si="5"/>
        <v>0</v>
      </c>
      <c r="R33" s="683">
        <f t="shared" si="0"/>
        <v>0</v>
      </c>
      <c r="S33" s="897" t="str">
        <f t="shared" si="6"/>
        <v/>
      </c>
      <c r="T33" s="889">
        <f t="shared" si="10"/>
        <v>0</v>
      </c>
      <c r="U33" s="893" t="str">
        <f t="shared" si="7"/>
        <v/>
      </c>
      <c r="V33" s="683">
        <f t="shared" si="8"/>
        <v>0.17</v>
      </c>
      <c r="W33" s="683">
        <f t="shared" si="1"/>
        <v>0</v>
      </c>
      <c r="X33" s="683" t="str">
        <f t="shared" si="9"/>
        <v/>
      </c>
      <c r="Y33" s="690"/>
      <c r="Z33" s="695"/>
      <c r="AC33" s="5"/>
      <c r="AD33" s="5"/>
      <c r="AE33" s="5"/>
    </row>
    <row r="34" spans="2:31" x14ac:dyDescent="0.25">
      <c r="B34" s="341"/>
      <c r="C34" s="321"/>
      <c r="D34" s="342"/>
      <c r="E34" s="326"/>
      <c r="F34" s="326"/>
      <c r="G34" s="326"/>
      <c r="H34" s="277">
        <f t="shared" si="12"/>
        <v>0</v>
      </c>
      <c r="I34" s="326"/>
      <c r="J34" s="326"/>
      <c r="K34" s="326"/>
      <c r="L34" s="326"/>
      <c r="M34" s="342"/>
      <c r="N34" s="914" t="str">
        <f>IF(I34="","NA",IF(M34="",'Building Data schedule'!$C$14,M34))</f>
        <v>NA</v>
      </c>
      <c r="O34" s="684">
        <f t="shared" si="3"/>
        <v>0</v>
      </c>
      <c r="P34" s="892" t="str">
        <f t="shared" si="4"/>
        <v/>
      </c>
      <c r="Q34" s="910">
        <f t="shared" si="5"/>
        <v>0</v>
      </c>
      <c r="R34" s="683">
        <f t="shared" si="0"/>
        <v>0</v>
      </c>
      <c r="S34" s="897" t="str">
        <f t="shared" si="6"/>
        <v/>
      </c>
      <c r="T34" s="889">
        <f t="shared" si="10"/>
        <v>0</v>
      </c>
      <c r="U34" s="893" t="str">
        <f t="shared" si="7"/>
        <v/>
      </c>
      <c r="V34" s="683">
        <f t="shared" si="8"/>
        <v>0.17</v>
      </c>
      <c r="W34" s="683">
        <f t="shared" si="1"/>
        <v>0</v>
      </c>
      <c r="X34" s="683" t="str">
        <f t="shared" si="9"/>
        <v/>
      </c>
      <c r="Y34" s="690"/>
      <c r="Z34" s="695"/>
      <c r="AC34" s="8"/>
      <c r="AD34" s="5"/>
      <c r="AE34" s="5"/>
    </row>
    <row r="35" spans="2:31" x14ac:dyDescent="0.25">
      <c r="B35" s="341"/>
      <c r="C35" s="321"/>
      <c r="D35" s="342"/>
      <c r="E35" s="326"/>
      <c r="F35" s="326"/>
      <c r="G35" s="326"/>
      <c r="H35" s="277">
        <f>E35*F35*G35</f>
        <v>0</v>
      </c>
      <c r="I35" s="326"/>
      <c r="J35" s="326"/>
      <c r="K35" s="326"/>
      <c r="L35" s="326"/>
      <c r="M35" s="342"/>
      <c r="N35" s="914" t="str">
        <f>IF(I35="","NA",IF(M35="",'Building Data schedule'!$C$14,M35))</f>
        <v>NA</v>
      </c>
      <c r="O35" s="684">
        <f t="shared" si="3"/>
        <v>0</v>
      </c>
      <c r="P35" s="892" t="str">
        <f t="shared" si="4"/>
        <v/>
      </c>
      <c r="Q35" s="910">
        <f t="shared" si="5"/>
        <v>0</v>
      </c>
      <c r="R35" s="683">
        <f t="shared" si="0"/>
        <v>0</v>
      </c>
      <c r="S35" s="897" t="str">
        <f t="shared" si="6"/>
        <v/>
      </c>
      <c r="T35" s="889">
        <f t="shared" si="10"/>
        <v>0</v>
      </c>
      <c r="U35" s="893" t="str">
        <f t="shared" si="7"/>
        <v/>
      </c>
      <c r="V35" s="683">
        <f t="shared" si="8"/>
        <v>0.17</v>
      </c>
      <c r="W35" s="683">
        <f t="shared" si="1"/>
        <v>0</v>
      </c>
      <c r="X35" s="683" t="str">
        <f t="shared" si="9"/>
        <v/>
      </c>
      <c r="Y35" s="690"/>
      <c r="Z35" s="695"/>
      <c r="AC35" s="8"/>
      <c r="AD35" s="5"/>
      <c r="AE35" s="5"/>
    </row>
    <row r="36" spans="2:31" x14ac:dyDescent="0.25">
      <c r="B36" s="341"/>
      <c r="C36" s="321"/>
      <c r="D36" s="342"/>
      <c r="E36" s="326"/>
      <c r="F36" s="326"/>
      <c r="G36" s="326"/>
      <c r="H36" s="277">
        <f t="shared" ref="H36:H105" si="13">E36*F36*G36</f>
        <v>0</v>
      </c>
      <c r="I36" s="326"/>
      <c r="J36" s="326"/>
      <c r="K36" s="326"/>
      <c r="L36" s="326"/>
      <c r="M36" s="342"/>
      <c r="N36" s="914" t="str">
        <f>IF(I36="","NA",IF(M36="",'Building Data schedule'!$C$14,M36))</f>
        <v>NA</v>
      </c>
      <c r="O36" s="684">
        <f t="shared" si="3"/>
        <v>0</v>
      </c>
      <c r="P36" s="892" t="str">
        <f t="shared" si="4"/>
        <v/>
      </c>
      <c r="Q36" s="910">
        <f t="shared" si="5"/>
        <v>0</v>
      </c>
      <c r="R36" s="683">
        <f t="shared" si="0"/>
        <v>0</v>
      </c>
      <c r="S36" s="897" t="str">
        <f t="shared" si="6"/>
        <v/>
      </c>
      <c r="T36" s="889">
        <f t="shared" si="10"/>
        <v>0</v>
      </c>
      <c r="U36" s="893" t="str">
        <f t="shared" si="7"/>
        <v/>
      </c>
      <c r="V36" s="683">
        <f t="shared" si="8"/>
        <v>0.17</v>
      </c>
      <c r="W36" s="683">
        <f t="shared" si="1"/>
        <v>0</v>
      </c>
      <c r="X36" s="683" t="str">
        <f t="shared" si="9"/>
        <v/>
      </c>
      <c r="Y36" s="690"/>
      <c r="Z36" s="695"/>
      <c r="AC36" s="8"/>
      <c r="AD36" s="5"/>
      <c r="AE36" s="5"/>
    </row>
    <row r="37" spans="2:31" x14ac:dyDescent="0.25">
      <c r="B37" s="341"/>
      <c r="C37" s="321"/>
      <c r="D37" s="342"/>
      <c r="E37" s="326"/>
      <c r="F37" s="326"/>
      <c r="G37" s="326"/>
      <c r="H37" s="277">
        <f t="shared" si="13"/>
        <v>0</v>
      </c>
      <c r="I37" s="326"/>
      <c r="J37" s="326"/>
      <c r="K37" s="326"/>
      <c r="L37" s="326"/>
      <c r="M37" s="342"/>
      <c r="N37" s="914" t="str">
        <f>IF(I37="","NA",IF(M37="",'Building Data schedule'!$C$14,M37))</f>
        <v>NA</v>
      </c>
      <c r="O37" s="684">
        <f t="shared" si="3"/>
        <v>0</v>
      </c>
      <c r="P37" s="892" t="str">
        <f t="shared" si="4"/>
        <v/>
      </c>
      <c r="Q37" s="910">
        <f t="shared" si="5"/>
        <v>0</v>
      </c>
      <c r="R37" s="683">
        <f t="shared" si="0"/>
        <v>0</v>
      </c>
      <c r="S37" s="897" t="str">
        <f t="shared" si="6"/>
        <v/>
      </c>
      <c r="T37" s="889">
        <f t="shared" si="10"/>
        <v>0</v>
      </c>
      <c r="U37" s="893" t="str">
        <f t="shared" si="7"/>
        <v/>
      </c>
      <c r="V37" s="683">
        <f t="shared" si="8"/>
        <v>0.17</v>
      </c>
      <c r="W37" s="683">
        <f t="shared" si="1"/>
        <v>0</v>
      </c>
      <c r="X37" s="683" t="str">
        <f t="shared" si="9"/>
        <v/>
      </c>
      <c r="Y37" s="690"/>
      <c r="Z37" s="695"/>
      <c r="AC37" s="5"/>
      <c r="AD37" s="5"/>
      <c r="AE37" s="5"/>
    </row>
    <row r="38" spans="2:31" x14ac:dyDescent="0.25">
      <c r="B38" s="341"/>
      <c r="C38" s="321"/>
      <c r="D38" s="342"/>
      <c r="E38" s="326"/>
      <c r="F38" s="326"/>
      <c r="G38" s="326"/>
      <c r="H38" s="277">
        <f t="shared" si="13"/>
        <v>0</v>
      </c>
      <c r="I38" s="326"/>
      <c r="J38" s="326"/>
      <c r="K38" s="326"/>
      <c r="L38" s="326"/>
      <c r="M38" s="342"/>
      <c r="N38" s="914" t="str">
        <f>IF(I38="","NA",IF(M38="",'Building Data schedule'!$C$14,M38))</f>
        <v>NA</v>
      </c>
      <c r="O38" s="684">
        <f t="shared" si="3"/>
        <v>0</v>
      </c>
      <c r="P38" s="892" t="str">
        <f t="shared" si="4"/>
        <v/>
      </c>
      <c r="Q38" s="910">
        <f t="shared" si="5"/>
        <v>0</v>
      </c>
      <c r="R38" s="683">
        <f t="shared" si="0"/>
        <v>0</v>
      </c>
      <c r="S38" s="897" t="str">
        <f t="shared" si="6"/>
        <v/>
      </c>
      <c r="T38" s="889">
        <f t="shared" si="10"/>
        <v>0</v>
      </c>
      <c r="U38" s="893" t="str">
        <f t="shared" si="7"/>
        <v/>
      </c>
      <c r="V38" s="683">
        <f t="shared" si="8"/>
        <v>0.17</v>
      </c>
      <c r="W38" s="683">
        <f t="shared" si="1"/>
        <v>0</v>
      </c>
      <c r="X38" s="683" t="str">
        <f t="shared" si="9"/>
        <v/>
      </c>
      <c r="Y38" s="690"/>
      <c r="Z38" s="695"/>
      <c r="AC38" s="5"/>
      <c r="AD38" s="5"/>
      <c r="AE38" s="5"/>
    </row>
    <row r="39" spans="2:31" x14ac:dyDescent="0.25">
      <c r="B39" s="341"/>
      <c r="C39" s="321"/>
      <c r="D39" s="342"/>
      <c r="E39" s="326"/>
      <c r="F39" s="326"/>
      <c r="G39" s="326"/>
      <c r="H39" s="277">
        <f t="shared" si="13"/>
        <v>0</v>
      </c>
      <c r="I39" s="326"/>
      <c r="J39" s="326"/>
      <c r="K39" s="326"/>
      <c r="L39" s="326"/>
      <c r="M39" s="342"/>
      <c r="N39" s="914" t="str">
        <f>IF(I39="","NA",IF(M39="",'Building Data schedule'!$C$14,M39))</f>
        <v>NA</v>
      </c>
      <c r="O39" s="684">
        <f t="shared" si="3"/>
        <v>0</v>
      </c>
      <c r="P39" s="892" t="str">
        <f t="shared" si="4"/>
        <v/>
      </c>
      <c r="Q39" s="910">
        <f t="shared" si="5"/>
        <v>0</v>
      </c>
      <c r="R39" s="683">
        <f t="shared" si="0"/>
        <v>0</v>
      </c>
      <c r="S39" s="897" t="str">
        <f t="shared" si="6"/>
        <v/>
      </c>
      <c r="T39" s="889">
        <f t="shared" si="10"/>
        <v>0</v>
      </c>
      <c r="U39" s="893" t="str">
        <f t="shared" si="7"/>
        <v/>
      </c>
      <c r="V39" s="683">
        <f t="shared" si="8"/>
        <v>0.17</v>
      </c>
      <c r="W39" s="683">
        <f t="shared" si="1"/>
        <v>0</v>
      </c>
      <c r="X39" s="683" t="str">
        <f t="shared" si="9"/>
        <v/>
      </c>
      <c r="Y39" s="690"/>
      <c r="Z39" s="695"/>
      <c r="AC39" s="5"/>
      <c r="AD39" s="5"/>
      <c r="AE39" s="5"/>
    </row>
    <row r="40" spans="2:31" x14ac:dyDescent="0.25">
      <c r="B40" s="341"/>
      <c r="C40" s="321"/>
      <c r="D40" s="342"/>
      <c r="E40" s="326"/>
      <c r="F40" s="326"/>
      <c r="G40" s="326"/>
      <c r="H40" s="277">
        <f t="shared" si="13"/>
        <v>0</v>
      </c>
      <c r="I40" s="326"/>
      <c r="J40" s="326"/>
      <c r="K40" s="326"/>
      <c r="L40" s="326"/>
      <c r="M40" s="342"/>
      <c r="N40" s="914" t="str">
        <f>IF(I40="","NA",IF(M40="",'Building Data schedule'!$C$14,M40))</f>
        <v>NA</v>
      </c>
      <c r="O40" s="684">
        <f t="shared" si="3"/>
        <v>0</v>
      </c>
      <c r="P40" s="892" t="str">
        <f t="shared" si="4"/>
        <v/>
      </c>
      <c r="Q40" s="910">
        <f t="shared" si="5"/>
        <v>0</v>
      </c>
      <c r="R40" s="683">
        <f t="shared" si="0"/>
        <v>0</v>
      </c>
      <c r="S40" s="897" t="str">
        <f t="shared" si="6"/>
        <v/>
      </c>
      <c r="T40" s="889">
        <f t="shared" si="10"/>
        <v>0</v>
      </c>
      <c r="U40" s="893" t="str">
        <f t="shared" si="7"/>
        <v/>
      </c>
      <c r="V40" s="683">
        <f t="shared" si="8"/>
        <v>0.17</v>
      </c>
      <c r="W40" s="683">
        <f t="shared" si="1"/>
        <v>0</v>
      </c>
      <c r="X40" s="683" t="str">
        <f t="shared" si="9"/>
        <v/>
      </c>
      <c r="Y40" s="690"/>
      <c r="Z40" s="695"/>
      <c r="AC40" s="5"/>
      <c r="AD40" s="5"/>
      <c r="AE40" s="5"/>
    </row>
    <row r="41" spans="2:31" x14ac:dyDescent="0.25">
      <c r="B41" s="341"/>
      <c r="C41" s="321"/>
      <c r="D41" s="342"/>
      <c r="E41" s="326"/>
      <c r="F41" s="326"/>
      <c r="G41" s="326"/>
      <c r="H41" s="277">
        <f t="shared" si="13"/>
        <v>0</v>
      </c>
      <c r="I41" s="326"/>
      <c r="J41" s="326"/>
      <c r="K41" s="326"/>
      <c r="L41" s="326"/>
      <c r="M41" s="342"/>
      <c r="N41" s="914" t="str">
        <f>IF(I41="","NA",IF(M41="",'Building Data schedule'!$C$14,M41))</f>
        <v>NA</v>
      </c>
      <c r="O41" s="684">
        <f t="shared" si="3"/>
        <v>0</v>
      </c>
      <c r="P41" s="892" t="str">
        <f t="shared" si="4"/>
        <v/>
      </c>
      <c r="Q41" s="910">
        <f t="shared" si="5"/>
        <v>0</v>
      </c>
      <c r="R41" s="683">
        <f t="shared" si="0"/>
        <v>0</v>
      </c>
      <c r="S41" s="897" t="str">
        <f t="shared" si="6"/>
        <v/>
      </c>
      <c r="T41" s="889">
        <f t="shared" si="10"/>
        <v>0</v>
      </c>
      <c r="U41" s="893" t="str">
        <f t="shared" si="7"/>
        <v/>
      </c>
      <c r="V41" s="683">
        <f t="shared" si="8"/>
        <v>0.17</v>
      </c>
      <c r="W41" s="683">
        <f t="shared" si="1"/>
        <v>0</v>
      </c>
      <c r="X41" s="683" t="str">
        <f t="shared" si="9"/>
        <v/>
      </c>
      <c r="Y41" s="690"/>
      <c r="Z41" s="695"/>
      <c r="AC41" s="5"/>
      <c r="AD41" s="5"/>
      <c r="AE41" s="5"/>
    </row>
    <row r="42" spans="2:31" x14ac:dyDescent="0.25">
      <c r="B42" s="341"/>
      <c r="C42" s="321"/>
      <c r="D42" s="342"/>
      <c r="E42" s="326"/>
      <c r="F42" s="326"/>
      <c r="G42" s="326"/>
      <c r="H42" s="277">
        <f t="shared" si="13"/>
        <v>0</v>
      </c>
      <c r="I42" s="326"/>
      <c r="J42" s="326"/>
      <c r="K42" s="326"/>
      <c r="L42" s="326"/>
      <c r="M42" s="342"/>
      <c r="N42" s="914" t="str">
        <f>IF(I42="","NA",IF(M42="",'Building Data schedule'!$C$14,M42))</f>
        <v>NA</v>
      </c>
      <c r="O42" s="684">
        <f t="shared" si="3"/>
        <v>0</v>
      </c>
      <c r="P42" s="892" t="str">
        <f t="shared" si="4"/>
        <v/>
      </c>
      <c r="Q42" s="910">
        <f t="shared" si="5"/>
        <v>0</v>
      </c>
      <c r="R42" s="683">
        <f t="shared" si="0"/>
        <v>0</v>
      </c>
      <c r="S42" s="897" t="str">
        <f t="shared" si="6"/>
        <v/>
      </c>
      <c r="T42" s="889">
        <f t="shared" si="10"/>
        <v>0</v>
      </c>
      <c r="U42" s="893" t="str">
        <f t="shared" si="7"/>
        <v/>
      </c>
      <c r="V42" s="683">
        <f t="shared" si="8"/>
        <v>0.17</v>
      </c>
      <c r="W42" s="683">
        <f t="shared" si="1"/>
        <v>0</v>
      </c>
      <c r="X42" s="683" t="str">
        <f t="shared" si="9"/>
        <v/>
      </c>
      <c r="Y42" s="690"/>
      <c r="Z42" s="695"/>
      <c r="AC42" s="5"/>
      <c r="AD42" s="5"/>
      <c r="AE42" s="5"/>
    </row>
    <row r="43" spans="2:31" x14ac:dyDescent="0.25">
      <c r="B43" s="341"/>
      <c r="C43" s="321"/>
      <c r="D43" s="342"/>
      <c r="E43" s="326"/>
      <c r="F43" s="326"/>
      <c r="G43" s="326"/>
      <c r="H43" s="277">
        <f t="shared" si="13"/>
        <v>0</v>
      </c>
      <c r="I43" s="326"/>
      <c r="J43" s="326"/>
      <c r="K43" s="326"/>
      <c r="L43" s="326"/>
      <c r="M43" s="342"/>
      <c r="N43" s="914" t="str">
        <f>IF(I43="","NA",IF(M43="",'Building Data schedule'!$C$14,M43))</f>
        <v>NA</v>
      </c>
      <c r="O43" s="684">
        <f t="shared" si="3"/>
        <v>0</v>
      </c>
      <c r="P43" s="892" t="str">
        <f t="shared" si="4"/>
        <v/>
      </c>
      <c r="Q43" s="910">
        <f t="shared" si="5"/>
        <v>0</v>
      </c>
      <c r="R43" s="683">
        <f t="shared" si="0"/>
        <v>0</v>
      </c>
      <c r="S43" s="897" t="str">
        <f t="shared" si="6"/>
        <v/>
      </c>
      <c r="T43" s="889">
        <f t="shared" si="10"/>
        <v>0</v>
      </c>
      <c r="U43" s="893" t="str">
        <f t="shared" si="7"/>
        <v/>
      </c>
      <c r="V43" s="683">
        <f t="shared" si="8"/>
        <v>0.17</v>
      </c>
      <c r="W43" s="683">
        <f t="shared" si="1"/>
        <v>0</v>
      </c>
      <c r="X43" s="683" t="str">
        <f t="shared" si="9"/>
        <v/>
      </c>
      <c r="Y43" s="690"/>
      <c r="Z43" s="695"/>
      <c r="AC43" s="5"/>
      <c r="AD43" s="5"/>
      <c r="AE43" s="5"/>
    </row>
    <row r="44" spans="2:31" x14ac:dyDescent="0.25">
      <c r="B44" s="341"/>
      <c r="C44" s="321"/>
      <c r="D44" s="342"/>
      <c r="E44" s="326"/>
      <c r="F44" s="326"/>
      <c r="G44" s="326"/>
      <c r="H44" s="277">
        <f t="shared" si="13"/>
        <v>0</v>
      </c>
      <c r="I44" s="326"/>
      <c r="J44" s="326"/>
      <c r="K44" s="326"/>
      <c r="L44" s="326"/>
      <c r="M44" s="342"/>
      <c r="N44" s="914" t="str">
        <f>IF(I44="","NA",IF(M44="",'Building Data schedule'!$C$14,M44))</f>
        <v>NA</v>
      </c>
      <c r="O44" s="684">
        <f t="shared" si="3"/>
        <v>0</v>
      </c>
      <c r="P44" s="892" t="str">
        <f t="shared" si="4"/>
        <v/>
      </c>
      <c r="Q44" s="910">
        <f t="shared" si="5"/>
        <v>0</v>
      </c>
      <c r="R44" s="683">
        <f t="shared" si="0"/>
        <v>0</v>
      </c>
      <c r="S44" s="897" t="str">
        <f t="shared" si="6"/>
        <v/>
      </c>
      <c r="T44" s="889">
        <f t="shared" si="10"/>
        <v>0</v>
      </c>
      <c r="U44" s="893" t="str">
        <f t="shared" si="7"/>
        <v/>
      </c>
      <c r="V44" s="683">
        <f t="shared" si="8"/>
        <v>0.17</v>
      </c>
      <c r="W44" s="683">
        <f t="shared" si="1"/>
        <v>0</v>
      </c>
      <c r="X44" s="683" t="str">
        <f t="shared" si="9"/>
        <v/>
      </c>
      <c r="Y44" s="690"/>
      <c r="Z44" s="695"/>
      <c r="AC44" s="5"/>
      <c r="AD44" s="5"/>
      <c r="AE44" s="5"/>
    </row>
    <row r="45" spans="2:31" x14ac:dyDescent="0.25">
      <c r="B45" s="341"/>
      <c r="C45" s="321"/>
      <c r="D45" s="342"/>
      <c r="E45" s="326"/>
      <c r="F45" s="326"/>
      <c r="G45" s="326"/>
      <c r="H45" s="277">
        <f t="shared" si="13"/>
        <v>0</v>
      </c>
      <c r="I45" s="326"/>
      <c r="J45" s="326"/>
      <c r="K45" s="326"/>
      <c r="L45" s="326"/>
      <c r="M45" s="342"/>
      <c r="N45" s="914" t="str">
        <f>IF(I45="","NA",IF(M45="",'Building Data schedule'!$C$14,M45))</f>
        <v>NA</v>
      </c>
      <c r="O45" s="684">
        <f t="shared" si="3"/>
        <v>0</v>
      </c>
      <c r="P45" s="892" t="str">
        <f t="shared" si="4"/>
        <v/>
      </c>
      <c r="Q45" s="910">
        <f t="shared" si="5"/>
        <v>0</v>
      </c>
      <c r="R45" s="683">
        <f t="shared" si="0"/>
        <v>0</v>
      </c>
      <c r="S45" s="897" t="str">
        <f t="shared" si="6"/>
        <v/>
      </c>
      <c r="T45" s="889">
        <f t="shared" si="10"/>
        <v>0</v>
      </c>
      <c r="U45" s="893" t="str">
        <f t="shared" si="7"/>
        <v/>
      </c>
      <c r="V45" s="683">
        <f t="shared" si="8"/>
        <v>0.17</v>
      </c>
      <c r="W45" s="683">
        <f t="shared" si="1"/>
        <v>0</v>
      </c>
      <c r="X45" s="683" t="str">
        <f t="shared" si="9"/>
        <v/>
      </c>
      <c r="Y45" s="690"/>
      <c r="Z45" s="695"/>
      <c r="AC45" s="5"/>
      <c r="AD45" s="5"/>
      <c r="AE45" s="5"/>
    </row>
    <row r="46" spans="2:31" x14ac:dyDescent="0.25">
      <c r="B46" s="341"/>
      <c r="C46" s="321"/>
      <c r="D46" s="342"/>
      <c r="E46" s="326"/>
      <c r="F46" s="326"/>
      <c r="G46" s="326"/>
      <c r="H46" s="277">
        <f t="shared" si="13"/>
        <v>0</v>
      </c>
      <c r="I46" s="326"/>
      <c r="J46" s="326"/>
      <c r="K46" s="326"/>
      <c r="L46" s="326"/>
      <c r="M46" s="342"/>
      <c r="N46" s="914" t="str">
        <f>IF(I46="","NA",IF(M46="",'Building Data schedule'!$C$14,M46))</f>
        <v>NA</v>
      </c>
      <c r="O46" s="684">
        <f t="shared" si="3"/>
        <v>0</v>
      </c>
      <c r="P46" s="892" t="str">
        <f t="shared" si="4"/>
        <v/>
      </c>
      <c r="Q46" s="910">
        <f t="shared" si="5"/>
        <v>0</v>
      </c>
      <c r="R46" s="683">
        <f t="shared" si="0"/>
        <v>0</v>
      </c>
      <c r="S46" s="897" t="str">
        <f t="shared" si="6"/>
        <v/>
      </c>
      <c r="T46" s="889">
        <f t="shared" si="10"/>
        <v>0</v>
      </c>
      <c r="U46" s="893" t="str">
        <f t="shared" si="7"/>
        <v/>
      </c>
      <c r="V46" s="683">
        <f t="shared" si="8"/>
        <v>0.17</v>
      </c>
      <c r="W46" s="683">
        <f t="shared" si="1"/>
        <v>0</v>
      </c>
      <c r="X46" s="683" t="str">
        <f t="shared" si="9"/>
        <v/>
      </c>
      <c r="Y46" s="690"/>
      <c r="Z46" s="695"/>
      <c r="AC46" s="5"/>
      <c r="AD46" s="5"/>
      <c r="AE46" s="5"/>
    </row>
    <row r="47" spans="2:31" x14ac:dyDescent="0.25">
      <c r="B47" s="341"/>
      <c r="C47" s="321"/>
      <c r="D47" s="342"/>
      <c r="E47" s="326"/>
      <c r="F47" s="326"/>
      <c r="G47" s="326"/>
      <c r="H47" s="277">
        <f t="shared" si="13"/>
        <v>0</v>
      </c>
      <c r="I47" s="326"/>
      <c r="J47" s="326"/>
      <c r="K47" s="326"/>
      <c r="L47" s="326"/>
      <c r="M47" s="342"/>
      <c r="N47" s="914" t="str">
        <f>IF(I47="","NA",IF(M47="",'Building Data schedule'!$C$14,M47))</f>
        <v>NA</v>
      </c>
      <c r="O47" s="684">
        <f t="shared" si="3"/>
        <v>0</v>
      </c>
      <c r="P47" s="892" t="str">
        <f t="shared" si="4"/>
        <v/>
      </c>
      <c r="Q47" s="910">
        <f t="shared" si="5"/>
        <v>0</v>
      </c>
      <c r="R47" s="683">
        <f t="shared" si="0"/>
        <v>0</v>
      </c>
      <c r="S47" s="897" t="str">
        <f t="shared" si="6"/>
        <v/>
      </c>
      <c r="T47" s="889">
        <f t="shared" si="10"/>
        <v>0</v>
      </c>
      <c r="U47" s="893" t="str">
        <f t="shared" si="7"/>
        <v/>
      </c>
      <c r="V47" s="683">
        <f t="shared" si="8"/>
        <v>0.17</v>
      </c>
      <c r="W47" s="683">
        <f t="shared" si="1"/>
        <v>0</v>
      </c>
      <c r="X47" s="683" t="str">
        <f t="shared" si="9"/>
        <v/>
      </c>
      <c r="Y47" s="690"/>
      <c r="Z47" s="695"/>
      <c r="AC47" s="5"/>
      <c r="AD47" s="5"/>
      <c r="AE47" s="5"/>
    </row>
    <row r="48" spans="2:31" x14ac:dyDescent="0.25">
      <c r="B48" s="341"/>
      <c r="C48" s="321"/>
      <c r="D48" s="342"/>
      <c r="E48" s="326"/>
      <c r="F48" s="326"/>
      <c r="G48" s="326"/>
      <c r="H48" s="277">
        <f t="shared" si="13"/>
        <v>0</v>
      </c>
      <c r="I48" s="326"/>
      <c r="J48" s="326"/>
      <c r="K48" s="326"/>
      <c r="L48" s="326"/>
      <c r="M48" s="342"/>
      <c r="N48" s="914" t="str">
        <f>IF(I48="","NA",IF(M48="",'Building Data schedule'!$C$14,M48))</f>
        <v>NA</v>
      </c>
      <c r="O48" s="684">
        <f t="shared" si="3"/>
        <v>0</v>
      </c>
      <c r="P48" s="892" t="str">
        <f t="shared" si="4"/>
        <v/>
      </c>
      <c r="Q48" s="910">
        <f t="shared" si="5"/>
        <v>0</v>
      </c>
      <c r="R48" s="683">
        <f t="shared" si="0"/>
        <v>0</v>
      </c>
      <c r="S48" s="897" t="str">
        <f t="shared" si="6"/>
        <v/>
      </c>
      <c r="T48" s="889">
        <f t="shared" si="10"/>
        <v>0</v>
      </c>
      <c r="U48" s="893" t="str">
        <f t="shared" si="7"/>
        <v/>
      </c>
      <c r="V48" s="683">
        <f t="shared" si="8"/>
        <v>0.17</v>
      </c>
      <c r="W48" s="683">
        <f t="shared" si="1"/>
        <v>0</v>
      </c>
      <c r="X48" s="683" t="str">
        <f t="shared" si="9"/>
        <v/>
      </c>
      <c r="Y48" s="690"/>
      <c r="Z48" s="695"/>
      <c r="AC48" s="5"/>
      <c r="AD48" s="5"/>
      <c r="AE48" s="5"/>
    </row>
    <row r="49" spans="2:31" x14ac:dyDescent="0.25">
      <c r="B49" s="341"/>
      <c r="C49" s="321"/>
      <c r="D49" s="342"/>
      <c r="E49" s="326"/>
      <c r="F49" s="326"/>
      <c r="G49" s="326"/>
      <c r="H49" s="277">
        <f t="shared" si="13"/>
        <v>0</v>
      </c>
      <c r="I49" s="326"/>
      <c r="J49" s="326"/>
      <c r="K49" s="326"/>
      <c r="L49" s="326"/>
      <c r="M49" s="342"/>
      <c r="N49" s="914" t="str">
        <f>IF(I49="","NA",IF(M49="",'Building Data schedule'!$C$14,M49))</f>
        <v>NA</v>
      </c>
      <c r="O49" s="684">
        <f t="shared" si="3"/>
        <v>0</v>
      </c>
      <c r="P49" s="892" t="str">
        <f t="shared" si="4"/>
        <v/>
      </c>
      <c r="Q49" s="910">
        <f t="shared" si="5"/>
        <v>0</v>
      </c>
      <c r="R49" s="683">
        <f t="shared" si="0"/>
        <v>0</v>
      </c>
      <c r="S49" s="897" t="str">
        <f t="shared" si="6"/>
        <v/>
      </c>
      <c r="T49" s="889">
        <f t="shared" si="10"/>
        <v>0</v>
      </c>
      <c r="U49" s="893" t="str">
        <f t="shared" si="7"/>
        <v/>
      </c>
      <c r="V49" s="683">
        <f t="shared" si="8"/>
        <v>0.17</v>
      </c>
      <c r="W49" s="683">
        <f t="shared" si="1"/>
        <v>0</v>
      </c>
      <c r="X49" s="683" t="str">
        <f t="shared" si="9"/>
        <v/>
      </c>
      <c r="Y49" s="690"/>
      <c r="Z49" s="695"/>
      <c r="AC49" s="5"/>
      <c r="AD49" s="5"/>
      <c r="AE49" s="5"/>
    </row>
    <row r="50" spans="2:31" x14ac:dyDescent="0.25">
      <c r="B50" s="341"/>
      <c r="C50" s="321"/>
      <c r="D50" s="342"/>
      <c r="E50" s="326"/>
      <c r="F50" s="326"/>
      <c r="G50" s="326"/>
      <c r="H50" s="277">
        <f t="shared" si="13"/>
        <v>0</v>
      </c>
      <c r="I50" s="326"/>
      <c r="J50" s="326"/>
      <c r="K50" s="326"/>
      <c r="L50" s="326"/>
      <c r="M50" s="342"/>
      <c r="N50" s="914" t="str">
        <f>IF(I50="","NA",IF(M50="",'Building Data schedule'!$C$14,M50))</f>
        <v>NA</v>
      </c>
      <c r="O50" s="684">
        <f t="shared" si="3"/>
        <v>0</v>
      </c>
      <c r="P50" s="892" t="str">
        <f t="shared" si="4"/>
        <v/>
      </c>
      <c r="Q50" s="910">
        <f t="shared" si="5"/>
        <v>0</v>
      </c>
      <c r="R50" s="683">
        <f t="shared" si="0"/>
        <v>0</v>
      </c>
      <c r="S50" s="897" t="str">
        <f t="shared" si="6"/>
        <v/>
      </c>
      <c r="T50" s="889">
        <f t="shared" si="10"/>
        <v>0</v>
      </c>
      <c r="U50" s="893" t="str">
        <f t="shared" si="7"/>
        <v/>
      </c>
      <c r="V50" s="683">
        <f t="shared" si="8"/>
        <v>0.17</v>
      </c>
      <c r="W50" s="683">
        <f t="shared" si="1"/>
        <v>0</v>
      </c>
      <c r="X50" s="683" t="str">
        <f t="shared" si="9"/>
        <v/>
      </c>
      <c r="Y50" s="690"/>
      <c r="Z50" s="695"/>
      <c r="AC50" s="5"/>
      <c r="AD50" s="5"/>
      <c r="AE50" s="5"/>
    </row>
    <row r="51" spans="2:31" x14ac:dyDescent="0.25">
      <c r="B51" s="341"/>
      <c r="C51" s="321"/>
      <c r="D51" s="342"/>
      <c r="E51" s="326"/>
      <c r="F51" s="326"/>
      <c r="G51" s="326"/>
      <c r="H51" s="277">
        <f t="shared" si="13"/>
        <v>0</v>
      </c>
      <c r="I51" s="326"/>
      <c r="J51" s="326"/>
      <c r="K51" s="326"/>
      <c r="L51" s="326"/>
      <c r="M51" s="342"/>
      <c r="N51" s="914" t="str">
        <f>IF(I51="","NA",IF(M51="",'Building Data schedule'!$C$14,M51))</f>
        <v>NA</v>
      </c>
      <c r="O51" s="684">
        <f t="shared" si="3"/>
        <v>0</v>
      </c>
      <c r="P51" s="892" t="str">
        <f t="shared" si="4"/>
        <v/>
      </c>
      <c r="Q51" s="910">
        <f t="shared" si="5"/>
        <v>0</v>
      </c>
      <c r="R51" s="683">
        <f t="shared" si="0"/>
        <v>0</v>
      </c>
      <c r="S51" s="897" t="str">
        <f t="shared" si="6"/>
        <v/>
      </c>
      <c r="T51" s="889">
        <f t="shared" si="10"/>
        <v>0</v>
      </c>
      <c r="U51" s="893" t="str">
        <f t="shared" si="7"/>
        <v/>
      </c>
      <c r="V51" s="683">
        <f t="shared" si="8"/>
        <v>0.17</v>
      </c>
      <c r="W51" s="683">
        <f t="shared" si="1"/>
        <v>0</v>
      </c>
      <c r="X51" s="683" t="str">
        <f t="shared" si="9"/>
        <v/>
      </c>
      <c r="Y51" s="690"/>
      <c r="Z51" s="695"/>
      <c r="AC51" s="5"/>
      <c r="AD51" s="5"/>
      <c r="AE51" s="5"/>
    </row>
    <row r="52" spans="2:31" x14ac:dyDescent="0.25">
      <c r="B52" s="341"/>
      <c r="C52" s="321"/>
      <c r="D52" s="342"/>
      <c r="E52" s="326"/>
      <c r="F52" s="326"/>
      <c r="G52" s="326"/>
      <c r="H52" s="277">
        <f t="shared" si="13"/>
        <v>0</v>
      </c>
      <c r="I52" s="326"/>
      <c r="J52" s="326"/>
      <c r="K52" s="326"/>
      <c r="L52" s="326"/>
      <c r="M52" s="342"/>
      <c r="N52" s="914" t="str">
        <f>IF(I52="","NA",IF(M52="",'Building Data schedule'!$C$14,M52))</f>
        <v>NA</v>
      </c>
      <c r="O52" s="684">
        <f t="shared" si="3"/>
        <v>0</v>
      </c>
      <c r="P52" s="892" t="str">
        <f t="shared" si="4"/>
        <v/>
      </c>
      <c r="Q52" s="910">
        <f t="shared" si="5"/>
        <v>0</v>
      </c>
      <c r="R52" s="683">
        <f t="shared" si="0"/>
        <v>0</v>
      </c>
      <c r="S52" s="897" t="str">
        <f t="shared" si="6"/>
        <v/>
      </c>
      <c r="T52" s="889">
        <f t="shared" si="10"/>
        <v>0</v>
      </c>
      <c r="U52" s="893" t="str">
        <f t="shared" si="7"/>
        <v/>
      </c>
      <c r="V52" s="683">
        <f t="shared" si="8"/>
        <v>0.17</v>
      </c>
      <c r="W52" s="683">
        <f t="shared" si="1"/>
        <v>0</v>
      </c>
      <c r="X52" s="683" t="str">
        <f t="shared" si="9"/>
        <v/>
      </c>
      <c r="Y52" s="690"/>
      <c r="Z52" s="695"/>
      <c r="AC52" s="5"/>
      <c r="AD52" s="5"/>
      <c r="AE52" s="5"/>
    </row>
    <row r="53" spans="2:31" x14ac:dyDescent="0.25">
      <c r="B53" s="341"/>
      <c r="C53" s="321"/>
      <c r="D53" s="342"/>
      <c r="E53" s="326"/>
      <c r="F53" s="326"/>
      <c r="G53" s="326"/>
      <c r="H53" s="277">
        <f t="shared" si="13"/>
        <v>0</v>
      </c>
      <c r="I53" s="326"/>
      <c r="J53" s="326"/>
      <c r="K53" s="326"/>
      <c r="L53" s="326"/>
      <c r="M53" s="342"/>
      <c r="N53" s="914" t="str">
        <f>IF(I53="","NA",IF(M53="",'Building Data schedule'!$C$14,M53))</f>
        <v>NA</v>
      </c>
      <c r="O53" s="684">
        <f t="shared" si="3"/>
        <v>0</v>
      </c>
      <c r="P53" s="892" t="str">
        <f t="shared" si="4"/>
        <v/>
      </c>
      <c r="Q53" s="910">
        <f t="shared" si="5"/>
        <v>0</v>
      </c>
      <c r="R53" s="683">
        <f t="shared" si="0"/>
        <v>0</v>
      </c>
      <c r="S53" s="897" t="str">
        <f t="shared" si="6"/>
        <v/>
      </c>
      <c r="T53" s="889">
        <f t="shared" si="10"/>
        <v>0</v>
      </c>
      <c r="U53" s="893" t="str">
        <f t="shared" si="7"/>
        <v/>
      </c>
      <c r="V53" s="683">
        <f t="shared" si="8"/>
        <v>0.17</v>
      </c>
      <c r="W53" s="683">
        <f t="shared" si="1"/>
        <v>0</v>
      </c>
      <c r="X53" s="683" t="str">
        <f t="shared" si="9"/>
        <v/>
      </c>
      <c r="Y53" s="690"/>
      <c r="Z53" s="695"/>
      <c r="AC53" s="5"/>
      <c r="AD53" s="5"/>
      <c r="AE53" s="5"/>
    </row>
    <row r="54" spans="2:31" x14ac:dyDescent="0.25">
      <c r="B54" s="341"/>
      <c r="C54" s="321"/>
      <c r="D54" s="342"/>
      <c r="E54" s="326"/>
      <c r="F54" s="326"/>
      <c r="G54" s="326"/>
      <c r="H54" s="277">
        <f t="shared" si="13"/>
        <v>0</v>
      </c>
      <c r="I54" s="326"/>
      <c r="J54" s="326"/>
      <c r="K54" s="326"/>
      <c r="L54" s="326"/>
      <c r="M54" s="342"/>
      <c r="N54" s="914" t="str">
        <f>IF(I54="","NA",IF(M54="",'Building Data schedule'!$C$14,M54))</f>
        <v>NA</v>
      </c>
      <c r="O54" s="684">
        <f t="shared" si="3"/>
        <v>0</v>
      </c>
      <c r="P54" s="892" t="str">
        <f t="shared" si="4"/>
        <v/>
      </c>
      <c r="Q54" s="910">
        <f t="shared" si="5"/>
        <v>0</v>
      </c>
      <c r="R54" s="683">
        <f t="shared" si="0"/>
        <v>0</v>
      </c>
      <c r="S54" s="897" t="str">
        <f t="shared" si="6"/>
        <v/>
      </c>
      <c r="T54" s="889">
        <f t="shared" si="10"/>
        <v>0</v>
      </c>
      <c r="U54" s="893" t="str">
        <f t="shared" si="7"/>
        <v/>
      </c>
      <c r="V54" s="683">
        <f t="shared" si="8"/>
        <v>0.17</v>
      </c>
      <c r="W54" s="683">
        <f t="shared" si="1"/>
        <v>0</v>
      </c>
      <c r="X54" s="683" t="str">
        <f t="shared" si="9"/>
        <v/>
      </c>
      <c r="Y54" s="690"/>
      <c r="Z54" s="695"/>
      <c r="AC54" s="5"/>
      <c r="AD54" s="5"/>
      <c r="AE54" s="5"/>
    </row>
    <row r="55" spans="2:31" x14ac:dyDescent="0.25">
      <c r="B55" s="341"/>
      <c r="C55" s="321"/>
      <c r="D55" s="342"/>
      <c r="E55" s="326"/>
      <c r="F55" s="326"/>
      <c r="G55" s="326"/>
      <c r="H55" s="277">
        <f t="shared" si="13"/>
        <v>0</v>
      </c>
      <c r="I55" s="326"/>
      <c r="J55" s="326"/>
      <c r="K55" s="326"/>
      <c r="L55" s="326"/>
      <c r="M55" s="342"/>
      <c r="N55" s="914" t="str">
        <f>IF(I55="","NA",IF(M55="",'Building Data schedule'!$C$14,M55))</f>
        <v>NA</v>
      </c>
      <c r="O55" s="684">
        <f t="shared" si="3"/>
        <v>0</v>
      </c>
      <c r="P55" s="892" t="str">
        <f t="shared" si="4"/>
        <v/>
      </c>
      <c r="Q55" s="910">
        <f t="shared" si="5"/>
        <v>0</v>
      </c>
      <c r="R55" s="683">
        <f t="shared" si="0"/>
        <v>0</v>
      </c>
      <c r="S55" s="897" t="str">
        <f t="shared" si="6"/>
        <v/>
      </c>
      <c r="T55" s="889">
        <f t="shared" si="10"/>
        <v>0</v>
      </c>
      <c r="U55" s="893" t="str">
        <f t="shared" si="7"/>
        <v/>
      </c>
      <c r="V55" s="683">
        <f t="shared" si="8"/>
        <v>0.17</v>
      </c>
      <c r="W55" s="683">
        <f t="shared" si="1"/>
        <v>0</v>
      </c>
      <c r="X55" s="683" t="str">
        <f t="shared" si="9"/>
        <v/>
      </c>
      <c r="Y55" s="690"/>
      <c r="Z55" s="695"/>
      <c r="AC55" s="5"/>
      <c r="AD55" s="5"/>
      <c r="AE55" s="5"/>
    </row>
    <row r="56" spans="2:31" x14ac:dyDescent="0.25">
      <c r="B56" s="341"/>
      <c r="C56" s="321"/>
      <c r="D56" s="342"/>
      <c r="E56" s="326"/>
      <c r="F56" s="326"/>
      <c r="G56" s="326"/>
      <c r="H56" s="277">
        <f t="shared" si="13"/>
        <v>0</v>
      </c>
      <c r="I56" s="326"/>
      <c r="J56" s="326"/>
      <c r="K56" s="326"/>
      <c r="L56" s="326"/>
      <c r="M56" s="342"/>
      <c r="N56" s="914" t="str">
        <f>IF(I56="","NA",IF(M56="",'Building Data schedule'!$C$14,M56))</f>
        <v>NA</v>
      </c>
      <c r="O56" s="684">
        <f t="shared" si="3"/>
        <v>0</v>
      </c>
      <c r="P56" s="892" t="str">
        <f t="shared" si="4"/>
        <v/>
      </c>
      <c r="Q56" s="910">
        <f t="shared" si="5"/>
        <v>0</v>
      </c>
      <c r="R56" s="683">
        <f t="shared" si="0"/>
        <v>0</v>
      </c>
      <c r="S56" s="897" t="str">
        <f t="shared" si="6"/>
        <v/>
      </c>
      <c r="T56" s="889">
        <f t="shared" si="10"/>
        <v>0</v>
      </c>
      <c r="U56" s="893" t="str">
        <f t="shared" si="7"/>
        <v/>
      </c>
      <c r="V56" s="683">
        <f t="shared" si="8"/>
        <v>0.17</v>
      </c>
      <c r="W56" s="683">
        <f t="shared" si="1"/>
        <v>0</v>
      </c>
      <c r="X56" s="683" t="str">
        <f t="shared" si="9"/>
        <v/>
      </c>
      <c r="Y56" s="690"/>
      <c r="Z56" s="695"/>
      <c r="AC56" s="5"/>
      <c r="AD56" s="5"/>
      <c r="AE56" s="5"/>
    </row>
    <row r="57" spans="2:31" x14ac:dyDescent="0.25">
      <c r="B57" s="341"/>
      <c r="C57" s="321"/>
      <c r="D57" s="342"/>
      <c r="E57" s="326"/>
      <c r="F57" s="326"/>
      <c r="G57" s="326"/>
      <c r="H57" s="277">
        <f t="shared" si="13"/>
        <v>0</v>
      </c>
      <c r="I57" s="326"/>
      <c r="J57" s="326"/>
      <c r="K57" s="326"/>
      <c r="L57" s="326"/>
      <c r="M57" s="342"/>
      <c r="N57" s="914" t="str">
        <f>IF(I57="","NA",IF(M57="",'Building Data schedule'!$C$14,M57))</f>
        <v>NA</v>
      </c>
      <c r="O57" s="684">
        <f t="shared" si="3"/>
        <v>0</v>
      </c>
      <c r="P57" s="892" t="str">
        <f t="shared" si="4"/>
        <v/>
      </c>
      <c r="Q57" s="910">
        <f t="shared" si="5"/>
        <v>0</v>
      </c>
      <c r="R57" s="683">
        <f t="shared" si="0"/>
        <v>0</v>
      </c>
      <c r="S57" s="897" t="str">
        <f t="shared" si="6"/>
        <v/>
      </c>
      <c r="T57" s="889">
        <f t="shared" si="10"/>
        <v>0</v>
      </c>
      <c r="U57" s="893" t="str">
        <f t="shared" si="7"/>
        <v/>
      </c>
      <c r="V57" s="683">
        <f t="shared" si="8"/>
        <v>0.17</v>
      </c>
      <c r="W57" s="683">
        <f t="shared" si="1"/>
        <v>0</v>
      </c>
      <c r="X57" s="683" t="str">
        <f t="shared" si="9"/>
        <v/>
      </c>
      <c r="Y57" s="690"/>
      <c r="Z57" s="695"/>
      <c r="AC57" s="5"/>
      <c r="AD57" s="5"/>
      <c r="AE57" s="5"/>
    </row>
    <row r="58" spans="2:31" x14ac:dyDescent="0.25">
      <c r="B58" s="341"/>
      <c r="C58" s="321"/>
      <c r="D58" s="342"/>
      <c r="E58" s="326"/>
      <c r="F58" s="326"/>
      <c r="G58" s="326"/>
      <c r="H58" s="277">
        <f t="shared" si="13"/>
        <v>0</v>
      </c>
      <c r="I58" s="326"/>
      <c r="J58" s="326"/>
      <c r="K58" s="326"/>
      <c r="L58" s="326"/>
      <c r="M58" s="342"/>
      <c r="N58" s="914" t="str">
        <f>IF(I58="","NA",IF(M58="",'Building Data schedule'!$C$14,M58))</f>
        <v>NA</v>
      </c>
      <c r="O58" s="684">
        <f t="shared" si="3"/>
        <v>0</v>
      </c>
      <c r="P58" s="892" t="str">
        <f t="shared" si="4"/>
        <v/>
      </c>
      <c r="Q58" s="910">
        <f t="shared" si="5"/>
        <v>0</v>
      </c>
      <c r="R58" s="683">
        <f t="shared" si="0"/>
        <v>0</v>
      </c>
      <c r="S58" s="897" t="str">
        <f t="shared" si="6"/>
        <v/>
      </c>
      <c r="T58" s="889">
        <f t="shared" si="10"/>
        <v>0</v>
      </c>
      <c r="U58" s="893" t="str">
        <f t="shared" si="7"/>
        <v/>
      </c>
      <c r="V58" s="683">
        <f t="shared" si="8"/>
        <v>0.17</v>
      </c>
      <c r="W58" s="683">
        <f t="shared" si="1"/>
        <v>0</v>
      </c>
      <c r="X58" s="683" t="str">
        <f t="shared" si="9"/>
        <v/>
      </c>
      <c r="Y58" s="690"/>
      <c r="Z58" s="695"/>
      <c r="AC58" s="5"/>
      <c r="AD58" s="5"/>
      <c r="AE58" s="5"/>
    </row>
    <row r="59" spans="2:31" x14ac:dyDescent="0.25">
      <c r="B59" s="341"/>
      <c r="C59" s="321"/>
      <c r="D59" s="342"/>
      <c r="E59" s="326"/>
      <c r="F59" s="326"/>
      <c r="G59" s="326"/>
      <c r="H59" s="277">
        <f t="shared" si="13"/>
        <v>0</v>
      </c>
      <c r="I59" s="326"/>
      <c r="J59" s="326"/>
      <c r="K59" s="326"/>
      <c r="L59" s="326"/>
      <c r="M59" s="342"/>
      <c r="N59" s="914" t="str">
        <f>IF(I59="","NA",IF(M59="",'Building Data schedule'!$C$14,M59))</f>
        <v>NA</v>
      </c>
      <c r="O59" s="684">
        <f t="shared" si="3"/>
        <v>0</v>
      </c>
      <c r="P59" s="892" t="str">
        <f t="shared" si="4"/>
        <v/>
      </c>
      <c r="Q59" s="910">
        <f t="shared" si="5"/>
        <v>0</v>
      </c>
      <c r="R59" s="683">
        <f t="shared" si="0"/>
        <v>0</v>
      </c>
      <c r="S59" s="897" t="str">
        <f t="shared" si="6"/>
        <v/>
      </c>
      <c r="T59" s="889">
        <f t="shared" si="10"/>
        <v>0</v>
      </c>
      <c r="U59" s="893" t="str">
        <f t="shared" si="7"/>
        <v/>
      </c>
      <c r="V59" s="683">
        <f t="shared" si="8"/>
        <v>0.17</v>
      </c>
      <c r="W59" s="683">
        <f t="shared" si="1"/>
        <v>0</v>
      </c>
      <c r="X59" s="683" t="str">
        <f t="shared" si="9"/>
        <v/>
      </c>
      <c r="Y59" s="690"/>
      <c r="Z59" s="695"/>
      <c r="AC59" s="5"/>
      <c r="AD59" s="5"/>
      <c r="AE59" s="5"/>
    </row>
    <row r="60" spans="2:31" x14ac:dyDescent="0.25">
      <c r="B60" s="341"/>
      <c r="C60" s="321"/>
      <c r="D60" s="342"/>
      <c r="E60" s="326"/>
      <c r="F60" s="326"/>
      <c r="G60" s="326"/>
      <c r="H60" s="277">
        <f t="shared" ref="H60:H69" si="14">E60*F60*G60</f>
        <v>0</v>
      </c>
      <c r="I60" s="326"/>
      <c r="J60" s="326"/>
      <c r="K60" s="326"/>
      <c r="L60" s="326"/>
      <c r="M60" s="342"/>
      <c r="N60" s="914" t="str">
        <f>IF(I60="","NA",IF(M60="",'Building Data schedule'!$C$14,M60))</f>
        <v>NA</v>
      </c>
      <c r="O60" s="684">
        <f t="shared" si="3"/>
        <v>0</v>
      </c>
      <c r="P60" s="892" t="str">
        <f t="shared" si="4"/>
        <v/>
      </c>
      <c r="Q60" s="910">
        <f t="shared" si="5"/>
        <v>0</v>
      </c>
      <c r="R60" s="683">
        <f t="shared" ref="R60:R69" si="15">Q60*H60</f>
        <v>0</v>
      </c>
      <c r="S60" s="897" t="str">
        <f t="shared" si="6"/>
        <v/>
      </c>
      <c r="T60" s="889">
        <f t="shared" ref="T60:T69" si="16">IF(H60=0,0,L60/H60)</f>
        <v>0</v>
      </c>
      <c r="U60" s="893" t="str">
        <f t="shared" si="7"/>
        <v/>
      </c>
      <c r="V60" s="683">
        <f t="shared" si="8"/>
        <v>0.17</v>
      </c>
      <c r="W60" s="683">
        <f t="shared" ref="W60:W69" si="17">V60*H60</f>
        <v>0</v>
      </c>
      <c r="X60" s="683" t="str">
        <f t="shared" si="9"/>
        <v/>
      </c>
      <c r="Y60" s="690"/>
      <c r="Z60" s="695"/>
      <c r="AC60" s="5"/>
      <c r="AD60" s="5"/>
      <c r="AE60" s="5"/>
    </row>
    <row r="61" spans="2:31" x14ac:dyDescent="0.25">
      <c r="B61" s="341"/>
      <c r="C61" s="321"/>
      <c r="D61" s="342"/>
      <c r="E61" s="326"/>
      <c r="F61" s="326"/>
      <c r="G61" s="326"/>
      <c r="H61" s="277">
        <f t="shared" si="14"/>
        <v>0</v>
      </c>
      <c r="I61" s="326"/>
      <c r="J61" s="326"/>
      <c r="K61" s="326"/>
      <c r="L61" s="326"/>
      <c r="M61" s="342"/>
      <c r="N61" s="914" t="str">
        <f>IF(I61="","NA",IF(M61="",'Building Data schedule'!$C$14,M61))</f>
        <v>NA</v>
      </c>
      <c r="O61" s="684">
        <f t="shared" si="3"/>
        <v>0</v>
      </c>
      <c r="P61" s="892" t="str">
        <f t="shared" si="4"/>
        <v/>
      </c>
      <c r="Q61" s="910">
        <f t="shared" si="5"/>
        <v>0</v>
      </c>
      <c r="R61" s="683">
        <f t="shared" si="15"/>
        <v>0</v>
      </c>
      <c r="S61" s="897" t="str">
        <f t="shared" si="6"/>
        <v/>
      </c>
      <c r="T61" s="889">
        <f t="shared" si="16"/>
        <v>0</v>
      </c>
      <c r="U61" s="893" t="str">
        <f t="shared" si="7"/>
        <v/>
      </c>
      <c r="V61" s="683">
        <f t="shared" si="8"/>
        <v>0.17</v>
      </c>
      <c r="W61" s="683">
        <f t="shared" si="17"/>
        <v>0</v>
      </c>
      <c r="X61" s="683" t="str">
        <f t="shared" si="9"/>
        <v/>
      </c>
      <c r="Y61" s="690"/>
      <c r="Z61" s="695"/>
      <c r="AC61" s="5"/>
      <c r="AD61" s="5"/>
      <c r="AE61" s="5"/>
    </row>
    <row r="62" spans="2:31" x14ac:dyDescent="0.25">
      <c r="B62" s="341"/>
      <c r="C62" s="321"/>
      <c r="D62" s="342"/>
      <c r="E62" s="326"/>
      <c r="F62" s="326"/>
      <c r="G62" s="326"/>
      <c r="H62" s="277">
        <f t="shared" si="14"/>
        <v>0</v>
      </c>
      <c r="I62" s="326"/>
      <c r="J62" s="326"/>
      <c r="K62" s="326"/>
      <c r="L62" s="326"/>
      <c r="M62" s="342"/>
      <c r="N62" s="914" t="str">
        <f>IF(I62="","NA",IF(M62="",'Building Data schedule'!$C$14,M62))</f>
        <v>NA</v>
      </c>
      <c r="O62" s="684">
        <f t="shared" si="3"/>
        <v>0</v>
      </c>
      <c r="P62" s="892" t="str">
        <f t="shared" si="4"/>
        <v/>
      </c>
      <c r="Q62" s="910">
        <f t="shared" si="5"/>
        <v>0</v>
      </c>
      <c r="R62" s="683">
        <f t="shared" si="15"/>
        <v>0</v>
      </c>
      <c r="S62" s="897" t="str">
        <f t="shared" si="6"/>
        <v/>
      </c>
      <c r="T62" s="889">
        <f t="shared" si="16"/>
        <v>0</v>
      </c>
      <c r="U62" s="893" t="str">
        <f t="shared" si="7"/>
        <v/>
      </c>
      <c r="V62" s="683">
        <f t="shared" si="8"/>
        <v>0.17</v>
      </c>
      <c r="W62" s="683">
        <f t="shared" si="17"/>
        <v>0</v>
      </c>
      <c r="X62" s="683" t="str">
        <f t="shared" si="9"/>
        <v/>
      </c>
      <c r="Y62" s="690"/>
      <c r="Z62" s="695"/>
      <c r="AC62" s="5"/>
      <c r="AD62" s="5"/>
      <c r="AE62" s="5"/>
    </row>
    <row r="63" spans="2:31" x14ac:dyDescent="0.25">
      <c r="B63" s="341"/>
      <c r="C63" s="321"/>
      <c r="D63" s="342"/>
      <c r="E63" s="326"/>
      <c r="F63" s="326"/>
      <c r="G63" s="326"/>
      <c r="H63" s="277">
        <f t="shared" si="14"/>
        <v>0</v>
      </c>
      <c r="I63" s="326"/>
      <c r="J63" s="326"/>
      <c r="K63" s="326"/>
      <c r="L63" s="326"/>
      <c r="M63" s="342"/>
      <c r="N63" s="914" t="str">
        <f>IF(I63="","NA",IF(M63="",'Building Data schedule'!$C$14,M63))</f>
        <v>NA</v>
      </c>
      <c r="O63" s="684">
        <f t="shared" si="3"/>
        <v>0</v>
      </c>
      <c r="P63" s="892" t="str">
        <f t="shared" si="4"/>
        <v/>
      </c>
      <c r="Q63" s="910">
        <f t="shared" si="5"/>
        <v>0</v>
      </c>
      <c r="R63" s="683">
        <f t="shared" si="15"/>
        <v>0</v>
      </c>
      <c r="S63" s="897" t="str">
        <f t="shared" si="6"/>
        <v/>
      </c>
      <c r="T63" s="889">
        <f t="shared" si="16"/>
        <v>0</v>
      </c>
      <c r="U63" s="893" t="str">
        <f t="shared" si="7"/>
        <v/>
      </c>
      <c r="V63" s="683">
        <f t="shared" si="8"/>
        <v>0.17</v>
      </c>
      <c r="W63" s="683">
        <f t="shared" si="17"/>
        <v>0</v>
      </c>
      <c r="X63" s="683" t="str">
        <f t="shared" si="9"/>
        <v/>
      </c>
      <c r="Y63" s="690"/>
      <c r="Z63" s="695"/>
      <c r="AC63" s="5"/>
      <c r="AD63" s="5"/>
      <c r="AE63" s="5"/>
    </row>
    <row r="64" spans="2:31" x14ac:dyDescent="0.25">
      <c r="B64" s="341"/>
      <c r="C64" s="321"/>
      <c r="D64" s="342"/>
      <c r="E64" s="326"/>
      <c r="F64" s="326"/>
      <c r="G64" s="326"/>
      <c r="H64" s="277">
        <f t="shared" si="14"/>
        <v>0</v>
      </c>
      <c r="I64" s="326"/>
      <c r="J64" s="326"/>
      <c r="K64" s="326"/>
      <c r="L64" s="326"/>
      <c r="M64" s="342"/>
      <c r="N64" s="914" t="str">
        <f>IF(I64="","NA",IF(M64="",'Building Data schedule'!$C$14,M64))</f>
        <v>NA</v>
      </c>
      <c r="O64" s="684">
        <f t="shared" si="3"/>
        <v>0</v>
      </c>
      <c r="P64" s="892" t="str">
        <f t="shared" si="4"/>
        <v/>
      </c>
      <c r="Q64" s="910">
        <f t="shared" si="5"/>
        <v>0</v>
      </c>
      <c r="R64" s="683">
        <f t="shared" si="15"/>
        <v>0</v>
      </c>
      <c r="S64" s="897" t="str">
        <f t="shared" si="6"/>
        <v/>
      </c>
      <c r="T64" s="889">
        <f t="shared" si="16"/>
        <v>0</v>
      </c>
      <c r="U64" s="893" t="str">
        <f t="shared" si="7"/>
        <v/>
      </c>
      <c r="V64" s="683">
        <f t="shared" si="8"/>
        <v>0.17</v>
      </c>
      <c r="W64" s="683">
        <f t="shared" si="17"/>
        <v>0</v>
      </c>
      <c r="X64" s="683" t="str">
        <f t="shared" si="9"/>
        <v/>
      </c>
      <c r="Y64" s="690"/>
      <c r="Z64" s="695"/>
      <c r="AC64" s="5"/>
      <c r="AD64" s="5"/>
      <c r="AE64" s="5"/>
    </row>
    <row r="65" spans="2:31" x14ac:dyDescent="0.25">
      <c r="B65" s="341"/>
      <c r="C65" s="321"/>
      <c r="D65" s="342"/>
      <c r="E65" s="326"/>
      <c r="F65" s="326"/>
      <c r="G65" s="326"/>
      <c r="H65" s="277">
        <f t="shared" si="14"/>
        <v>0</v>
      </c>
      <c r="I65" s="326"/>
      <c r="J65" s="326"/>
      <c r="K65" s="326"/>
      <c r="L65" s="326"/>
      <c r="M65" s="342"/>
      <c r="N65" s="914" t="str">
        <f>IF(I65="","NA",IF(M65="",'Building Data schedule'!$C$14,M65))</f>
        <v>NA</v>
      </c>
      <c r="O65" s="684">
        <f t="shared" si="3"/>
        <v>0</v>
      </c>
      <c r="P65" s="892" t="str">
        <f t="shared" si="4"/>
        <v/>
      </c>
      <c r="Q65" s="910">
        <f t="shared" si="5"/>
        <v>0</v>
      </c>
      <c r="R65" s="683">
        <f t="shared" si="15"/>
        <v>0</v>
      </c>
      <c r="S65" s="897" t="str">
        <f t="shared" si="6"/>
        <v/>
      </c>
      <c r="T65" s="889">
        <f t="shared" si="16"/>
        <v>0</v>
      </c>
      <c r="U65" s="893" t="str">
        <f t="shared" si="7"/>
        <v/>
      </c>
      <c r="V65" s="683">
        <f t="shared" si="8"/>
        <v>0.17</v>
      </c>
      <c r="W65" s="683">
        <f t="shared" si="17"/>
        <v>0</v>
      </c>
      <c r="X65" s="683" t="str">
        <f t="shared" si="9"/>
        <v/>
      </c>
      <c r="Y65" s="690"/>
      <c r="Z65" s="695"/>
      <c r="AC65" s="5"/>
      <c r="AD65" s="5"/>
      <c r="AE65" s="5"/>
    </row>
    <row r="66" spans="2:31" x14ac:dyDescent="0.25">
      <c r="B66" s="341"/>
      <c r="C66" s="321"/>
      <c r="D66" s="342"/>
      <c r="E66" s="326"/>
      <c r="F66" s="326"/>
      <c r="G66" s="326"/>
      <c r="H66" s="277">
        <f t="shared" si="14"/>
        <v>0</v>
      </c>
      <c r="I66" s="326"/>
      <c r="J66" s="326"/>
      <c r="K66" s="326"/>
      <c r="L66" s="326"/>
      <c r="M66" s="342"/>
      <c r="N66" s="914" t="str">
        <f>IF(I66="","NA",IF(M66="",'Building Data schedule'!$C$14,M66))</f>
        <v>NA</v>
      </c>
      <c r="O66" s="684">
        <f t="shared" si="3"/>
        <v>0</v>
      </c>
      <c r="P66" s="892" t="str">
        <f t="shared" si="4"/>
        <v/>
      </c>
      <c r="Q66" s="910">
        <f t="shared" si="5"/>
        <v>0</v>
      </c>
      <c r="R66" s="683">
        <f t="shared" si="15"/>
        <v>0</v>
      </c>
      <c r="S66" s="897" t="str">
        <f t="shared" si="6"/>
        <v/>
      </c>
      <c r="T66" s="889">
        <f t="shared" si="16"/>
        <v>0</v>
      </c>
      <c r="U66" s="893" t="str">
        <f t="shared" si="7"/>
        <v/>
      </c>
      <c r="V66" s="683">
        <f t="shared" si="8"/>
        <v>0.17</v>
      </c>
      <c r="W66" s="683">
        <f t="shared" si="17"/>
        <v>0</v>
      </c>
      <c r="X66" s="683" t="str">
        <f t="shared" si="9"/>
        <v/>
      </c>
      <c r="Y66" s="690"/>
      <c r="Z66" s="695"/>
      <c r="AC66" s="5"/>
      <c r="AD66" s="5"/>
      <c r="AE66" s="5"/>
    </row>
    <row r="67" spans="2:31" x14ac:dyDescent="0.25">
      <c r="B67" s="341"/>
      <c r="C67" s="321"/>
      <c r="D67" s="342"/>
      <c r="E67" s="326"/>
      <c r="F67" s="326"/>
      <c r="G67" s="326"/>
      <c r="H67" s="277">
        <f t="shared" si="14"/>
        <v>0</v>
      </c>
      <c r="I67" s="326"/>
      <c r="J67" s="326"/>
      <c r="K67" s="326"/>
      <c r="L67" s="326"/>
      <c r="M67" s="342"/>
      <c r="N67" s="914" t="str">
        <f>IF(I67="","NA",IF(M67="",'Building Data schedule'!$C$14,M67))</f>
        <v>NA</v>
      </c>
      <c r="O67" s="684">
        <f t="shared" si="3"/>
        <v>0</v>
      </c>
      <c r="P67" s="892" t="str">
        <f t="shared" si="4"/>
        <v/>
      </c>
      <c r="Q67" s="910">
        <f t="shared" si="5"/>
        <v>0</v>
      </c>
      <c r="R67" s="683">
        <f t="shared" si="15"/>
        <v>0</v>
      </c>
      <c r="S67" s="897" t="str">
        <f t="shared" si="6"/>
        <v/>
      </c>
      <c r="T67" s="889">
        <f t="shared" si="16"/>
        <v>0</v>
      </c>
      <c r="U67" s="893" t="str">
        <f t="shared" si="7"/>
        <v/>
      </c>
      <c r="V67" s="683">
        <f t="shared" si="8"/>
        <v>0.17</v>
      </c>
      <c r="W67" s="683">
        <f t="shared" si="17"/>
        <v>0</v>
      </c>
      <c r="X67" s="683" t="str">
        <f t="shared" si="9"/>
        <v/>
      </c>
      <c r="Y67" s="690"/>
      <c r="Z67" s="695"/>
      <c r="AC67" s="5"/>
      <c r="AD67" s="5"/>
      <c r="AE67" s="5"/>
    </row>
    <row r="68" spans="2:31" x14ac:dyDescent="0.25">
      <c r="B68" s="341"/>
      <c r="C68" s="321"/>
      <c r="D68" s="342"/>
      <c r="E68" s="326"/>
      <c r="F68" s="326"/>
      <c r="G68" s="326"/>
      <c r="H68" s="277">
        <f t="shared" si="14"/>
        <v>0</v>
      </c>
      <c r="I68" s="326"/>
      <c r="J68" s="326"/>
      <c r="K68" s="326"/>
      <c r="L68" s="326"/>
      <c r="M68" s="342"/>
      <c r="N68" s="914" t="str">
        <f>IF(I68="","NA",IF(M68="",'Building Data schedule'!$C$14,M68))</f>
        <v>NA</v>
      </c>
      <c r="O68" s="684">
        <f t="shared" si="3"/>
        <v>0</v>
      </c>
      <c r="P68" s="892" t="str">
        <f t="shared" si="4"/>
        <v/>
      </c>
      <c r="Q68" s="910">
        <f t="shared" si="5"/>
        <v>0</v>
      </c>
      <c r="R68" s="683">
        <f t="shared" si="15"/>
        <v>0</v>
      </c>
      <c r="S68" s="897" t="str">
        <f t="shared" si="6"/>
        <v/>
      </c>
      <c r="T68" s="889">
        <f t="shared" si="16"/>
        <v>0</v>
      </c>
      <c r="U68" s="893" t="str">
        <f t="shared" si="7"/>
        <v/>
      </c>
      <c r="V68" s="683">
        <f t="shared" si="8"/>
        <v>0.17</v>
      </c>
      <c r="W68" s="683">
        <f t="shared" si="17"/>
        <v>0</v>
      </c>
      <c r="X68" s="683" t="str">
        <f t="shared" si="9"/>
        <v/>
      </c>
      <c r="Y68" s="690"/>
      <c r="Z68" s="695"/>
      <c r="AC68" s="5"/>
      <c r="AD68" s="5"/>
      <c r="AE68" s="5"/>
    </row>
    <row r="69" spans="2:31" x14ac:dyDescent="0.25">
      <c r="B69" s="341"/>
      <c r="C69" s="321"/>
      <c r="D69" s="342"/>
      <c r="E69" s="326"/>
      <c r="F69" s="326"/>
      <c r="G69" s="326"/>
      <c r="H69" s="277">
        <f t="shared" si="14"/>
        <v>0</v>
      </c>
      <c r="I69" s="326"/>
      <c r="J69" s="326"/>
      <c r="K69" s="326"/>
      <c r="L69" s="326"/>
      <c r="M69" s="342"/>
      <c r="N69" s="914" t="str">
        <f>IF(I69="","NA",IF(M69="",'Building Data schedule'!$C$14,M69))</f>
        <v>NA</v>
      </c>
      <c r="O69" s="684">
        <f t="shared" si="3"/>
        <v>0</v>
      </c>
      <c r="P69" s="892" t="str">
        <f t="shared" si="4"/>
        <v/>
      </c>
      <c r="Q69" s="910">
        <f t="shared" si="5"/>
        <v>0</v>
      </c>
      <c r="R69" s="683">
        <f t="shared" si="15"/>
        <v>0</v>
      </c>
      <c r="S69" s="897" t="str">
        <f t="shared" si="6"/>
        <v/>
      </c>
      <c r="T69" s="889">
        <f t="shared" si="16"/>
        <v>0</v>
      </c>
      <c r="U69" s="893" t="str">
        <f t="shared" si="7"/>
        <v/>
      </c>
      <c r="V69" s="683">
        <f t="shared" si="8"/>
        <v>0.17</v>
      </c>
      <c r="W69" s="683">
        <f t="shared" si="17"/>
        <v>0</v>
      </c>
      <c r="X69" s="683" t="str">
        <f t="shared" si="9"/>
        <v/>
      </c>
      <c r="Y69" s="690"/>
      <c r="Z69" s="695"/>
      <c r="AC69" s="5"/>
      <c r="AD69" s="5"/>
      <c r="AE69" s="5"/>
    </row>
    <row r="70" spans="2:31" x14ac:dyDescent="0.25">
      <c r="B70" s="341"/>
      <c r="C70" s="321"/>
      <c r="D70" s="342"/>
      <c r="E70" s="326"/>
      <c r="F70" s="326"/>
      <c r="G70" s="326"/>
      <c r="H70" s="277">
        <f t="shared" si="13"/>
        <v>0</v>
      </c>
      <c r="I70" s="326"/>
      <c r="J70" s="326"/>
      <c r="K70" s="326"/>
      <c r="L70" s="326"/>
      <c r="M70" s="342"/>
      <c r="N70" s="914" t="str">
        <f>IF(I70="","NA",IF(M70="",'Building Data schedule'!$C$14,M70))</f>
        <v>NA</v>
      </c>
      <c r="O70" s="684">
        <f t="shared" si="3"/>
        <v>0</v>
      </c>
      <c r="P70" s="892" t="str">
        <f t="shared" si="4"/>
        <v/>
      </c>
      <c r="Q70" s="910">
        <f t="shared" si="5"/>
        <v>0</v>
      </c>
      <c r="R70" s="683">
        <f t="shared" si="0"/>
        <v>0</v>
      </c>
      <c r="S70" s="897" t="str">
        <f t="shared" si="6"/>
        <v/>
      </c>
      <c r="T70" s="889">
        <f t="shared" si="10"/>
        <v>0</v>
      </c>
      <c r="U70" s="893" t="str">
        <f t="shared" si="7"/>
        <v/>
      </c>
      <c r="V70" s="683">
        <f t="shared" si="8"/>
        <v>0.17</v>
      </c>
      <c r="W70" s="683">
        <f t="shared" si="1"/>
        <v>0</v>
      </c>
      <c r="X70" s="683" t="str">
        <f t="shared" si="9"/>
        <v/>
      </c>
      <c r="Y70" s="690"/>
      <c r="Z70" s="695"/>
      <c r="AC70" s="5"/>
      <c r="AD70" s="5"/>
      <c r="AE70" s="5"/>
    </row>
    <row r="71" spans="2:31" x14ac:dyDescent="0.25">
      <c r="B71" s="341"/>
      <c r="C71" s="321"/>
      <c r="D71" s="342"/>
      <c r="E71" s="326"/>
      <c r="F71" s="326"/>
      <c r="G71" s="326"/>
      <c r="H71" s="277">
        <f t="shared" si="13"/>
        <v>0</v>
      </c>
      <c r="I71" s="326"/>
      <c r="J71" s="326"/>
      <c r="K71" s="326"/>
      <c r="L71" s="326"/>
      <c r="M71" s="342"/>
      <c r="N71" s="914" t="str">
        <f>IF(I71="","NA",IF(M71="",'Building Data schedule'!$C$14,M71))</f>
        <v>NA</v>
      </c>
      <c r="O71" s="684">
        <f t="shared" si="3"/>
        <v>0</v>
      </c>
      <c r="P71" s="892" t="str">
        <f t="shared" si="4"/>
        <v/>
      </c>
      <c r="Q71" s="910">
        <f t="shared" si="5"/>
        <v>0</v>
      </c>
      <c r="R71" s="683">
        <f t="shared" si="0"/>
        <v>0</v>
      </c>
      <c r="S71" s="897" t="str">
        <f t="shared" si="6"/>
        <v/>
      </c>
      <c r="T71" s="889">
        <f t="shared" si="10"/>
        <v>0</v>
      </c>
      <c r="U71" s="893" t="str">
        <f t="shared" si="7"/>
        <v/>
      </c>
      <c r="V71" s="683">
        <f t="shared" si="8"/>
        <v>0.17</v>
      </c>
      <c r="W71" s="683">
        <f t="shared" si="1"/>
        <v>0</v>
      </c>
      <c r="X71" s="683" t="str">
        <f t="shared" si="9"/>
        <v/>
      </c>
      <c r="Y71" s="690"/>
      <c r="Z71" s="695"/>
      <c r="AC71" s="5"/>
      <c r="AD71" s="5"/>
      <c r="AE71" s="5"/>
    </row>
    <row r="72" spans="2:31" x14ac:dyDescent="0.25">
      <c r="B72" s="341"/>
      <c r="C72" s="321"/>
      <c r="D72" s="342"/>
      <c r="E72" s="326"/>
      <c r="F72" s="326"/>
      <c r="G72" s="326"/>
      <c r="H72" s="277">
        <f t="shared" si="13"/>
        <v>0</v>
      </c>
      <c r="I72" s="326"/>
      <c r="J72" s="326"/>
      <c r="K72" s="326"/>
      <c r="L72" s="326"/>
      <c r="M72" s="342"/>
      <c r="N72" s="914" t="str">
        <f>IF(I72="","NA",IF(M72="",'Building Data schedule'!$C$14,M72))</f>
        <v>NA</v>
      </c>
      <c r="O72" s="684">
        <f t="shared" ref="O72:O106" si="18">IF(I72=0,0,K72/I72)</f>
        <v>0</v>
      </c>
      <c r="P72" s="892" t="str">
        <f t="shared" ref="P72:P106" si="19">IFERROR(IF(E69="Use of CO Sensor",K72*N72*52*0.85/1000,K72*N72*52/1000),"")</f>
        <v/>
      </c>
      <c r="Q72" s="910">
        <f t="shared" ref="Q72:Q106" si="20">IF(K72&lt;4000,O72,$AD$7)</f>
        <v>0</v>
      </c>
      <c r="R72" s="683">
        <f t="shared" si="0"/>
        <v>0</v>
      </c>
      <c r="S72" s="897" t="str">
        <f t="shared" ref="S72:S106" si="21">IFERROR(R72*N72*52/1000,"")</f>
        <v/>
      </c>
      <c r="T72" s="889">
        <f t="shared" si="10"/>
        <v>0</v>
      </c>
      <c r="U72" s="893" t="str">
        <f t="shared" ref="U72:U106" si="22">IFERROR(IF(E69="Use of CO Sensor",L72*N72*52*0.85/1000,L72*N72*52/1000),"")</f>
        <v/>
      </c>
      <c r="V72" s="683">
        <f t="shared" ref="V72:V106" si="23">IF(K72&lt;4000,IF(T72&lt;$AE$8,$AE$8,T72),($AE$7+Y72/2340))</f>
        <v>0.17</v>
      </c>
      <c r="W72" s="683">
        <f t="shared" si="1"/>
        <v>0</v>
      </c>
      <c r="X72" s="683" t="str">
        <f t="shared" ref="X72:X106" si="24">IFERROR(W72*N72*52/1000,"")</f>
        <v/>
      </c>
      <c r="Y72" s="690"/>
      <c r="Z72" s="695"/>
      <c r="AC72" s="5"/>
      <c r="AD72" s="5"/>
      <c r="AE72" s="5"/>
    </row>
    <row r="73" spans="2:31" x14ac:dyDescent="0.25">
      <c r="B73" s="341"/>
      <c r="C73" s="321"/>
      <c r="D73" s="342"/>
      <c r="E73" s="326"/>
      <c r="F73" s="326"/>
      <c r="G73" s="326"/>
      <c r="H73" s="277">
        <f t="shared" si="13"/>
        <v>0</v>
      </c>
      <c r="I73" s="326"/>
      <c r="J73" s="326"/>
      <c r="K73" s="326"/>
      <c r="L73" s="326"/>
      <c r="M73" s="342"/>
      <c r="N73" s="914" t="str">
        <f>IF(I73="","NA",IF(M73="",'Building Data schedule'!$C$14,M73))</f>
        <v>NA</v>
      </c>
      <c r="O73" s="684">
        <f t="shared" si="18"/>
        <v>0</v>
      </c>
      <c r="P73" s="892" t="str">
        <f t="shared" si="19"/>
        <v/>
      </c>
      <c r="Q73" s="910">
        <f t="shared" si="20"/>
        <v>0</v>
      </c>
      <c r="R73" s="683">
        <f t="shared" si="0"/>
        <v>0</v>
      </c>
      <c r="S73" s="897" t="str">
        <f t="shared" si="21"/>
        <v/>
      </c>
      <c r="T73" s="889">
        <f t="shared" si="10"/>
        <v>0</v>
      </c>
      <c r="U73" s="893" t="str">
        <f t="shared" si="22"/>
        <v/>
      </c>
      <c r="V73" s="683">
        <f t="shared" si="23"/>
        <v>0.17</v>
      </c>
      <c r="W73" s="683">
        <f t="shared" si="1"/>
        <v>0</v>
      </c>
      <c r="X73" s="683" t="str">
        <f t="shared" si="24"/>
        <v/>
      </c>
      <c r="Y73" s="690"/>
      <c r="Z73" s="695"/>
      <c r="AC73" s="5"/>
      <c r="AD73" s="5"/>
      <c r="AE73" s="5"/>
    </row>
    <row r="74" spans="2:31" x14ac:dyDescent="0.25">
      <c r="B74" s="341"/>
      <c r="C74" s="321"/>
      <c r="D74" s="342"/>
      <c r="E74" s="326"/>
      <c r="F74" s="326"/>
      <c r="G74" s="326"/>
      <c r="H74" s="277">
        <f t="shared" si="13"/>
        <v>0</v>
      </c>
      <c r="I74" s="326"/>
      <c r="J74" s="326"/>
      <c r="K74" s="326"/>
      <c r="L74" s="326"/>
      <c r="M74" s="342"/>
      <c r="N74" s="914" t="str">
        <f>IF(I74="","NA",IF(M74="",'Building Data schedule'!$C$14,M74))</f>
        <v>NA</v>
      </c>
      <c r="O74" s="684">
        <f t="shared" si="18"/>
        <v>0</v>
      </c>
      <c r="P74" s="892" t="str">
        <f t="shared" si="19"/>
        <v/>
      </c>
      <c r="Q74" s="910">
        <f t="shared" si="20"/>
        <v>0</v>
      </c>
      <c r="R74" s="683">
        <f t="shared" si="0"/>
        <v>0</v>
      </c>
      <c r="S74" s="897" t="str">
        <f t="shared" si="21"/>
        <v/>
      </c>
      <c r="T74" s="889">
        <f t="shared" si="10"/>
        <v>0</v>
      </c>
      <c r="U74" s="893" t="str">
        <f t="shared" si="22"/>
        <v/>
      </c>
      <c r="V74" s="683">
        <f t="shared" si="23"/>
        <v>0.17</v>
      </c>
      <c r="W74" s="683">
        <f t="shared" si="1"/>
        <v>0</v>
      </c>
      <c r="X74" s="683" t="str">
        <f t="shared" si="24"/>
        <v/>
      </c>
      <c r="Y74" s="690"/>
      <c r="Z74" s="695"/>
      <c r="AC74" s="5"/>
      <c r="AD74" s="5"/>
      <c r="AE74" s="5"/>
    </row>
    <row r="75" spans="2:31" x14ac:dyDescent="0.25">
      <c r="B75" s="341"/>
      <c r="C75" s="321"/>
      <c r="D75" s="342"/>
      <c r="E75" s="326"/>
      <c r="F75" s="326"/>
      <c r="G75" s="326"/>
      <c r="H75" s="277">
        <f t="shared" si="13"/>
        <v>0</v>
      </c>
      <c r="I75" s="326"/>
      <c r="J75" s="326"/>
      <c r="K75" s="326"/>
      <c r="L75" s="326"/>
      <c r="M75" s="342"/>
      <c r="N75" s="914" t="str">
        <f>IF(I75="","NA",IF(M75="",'Building Data schedule'!$C$14,M75))</f>
        <v>NA</v>
      </c>
      <c r="O75" s="684">
        <f t="shared" si="18"/>
        <v>0</v>
      </c>
      <c r="P75" s="892" t="str">
        <f t="shared" si="19"/>
        <v/>
      </c>
      <c r="Q75" s="910">
        <f t="shared" si="20"/>
        <v>0</v>
      </c>
      <c r="R75" s="683">
        <f t="shared" si="0"/>
        <v>0</v>
      </c>
      <c r="S75" s="897" t="str">
        <f t="shared" si="21"/>
        <v/>
      </c>
      <c r="T75" s="889">
        <f t="shared" si="10"/>
        <v>0</v>
      </c>
      <c r="U75" s="893" t="str">
        <f t="shared" si="22"/>
        <v/>
      </c>
      <c r="V75" s="683">
        <f t="shared" si="23"/>
        <v>0.17</v>
      </c>
      <c r="W75" s="683">
        <f t="shared" si="1"/>
        <v>0</v>
      </c>
      <c r="X75" s="683" t="str">
        <f t="shared" si="24"/>
        <v/>
      </c>
      <c r="Y75" s="690"/>
      <c r="Z75" s="695"/>
      <c r="AC75" s="5"/>
      <c r="AD75" s="5"/>
      <c r="AE75" s="5"/>
    </row>
    <row r="76" spans="2:31" x14ac:dyDescent="0.25">
      <c r="B76" s="341"/>
      <c r="C76" s="321"/>
      <c r="D76" s="342"/>
      <c r="E76" s="326"/>
      <c r="F76" s="326"/>
      <c r="G76" s="326"/>
      <c r="H76" s="277">
        <f t="shared" si="13"/>
        <v>0</v>
      </c>
      <c r="I76" s="326"/>
      <c r="J76" s="326"/>
      <c r="K76" s="326"/>
      <c r="L76" s="326"/>
      <c r="M76" s="342"/>
      <c r="N76" s="914" t="str">
        <f>IF(I76="","NA",IF(M76="",'Building Data schedule'!$C$14,M76))</f>
        <v>NA</v>
      </c>
      <c r="O76" s="684">
        <f t="shared" si="18"/>
        <v>0</v>
      </c>
      <c r="P76" s="892" t="str">
        <f t="shared" si="19"/>
        <v/>
      </c>
      <c r="Q76" s="910">
        <f t="shared" si="20"/>
        <v>0</v>
      </c>
      <c r="R76" s="683">
        <f t="shared" si="0"/>
        <v>0</v>
      </c>
      <c r="S76" s="897" t="str">
        <f t="shared" si="21"/>
        <v/>
      </c>
      <c r="T76" s="889">
        <f t="shared" si="10"/>
        <v>0</v>
      </c>
      <c r="U76" s="893" t="str">
        <f t="shared" si="22"/>
        <v/>
      </c>
      <c r="V76" s="683">
        <f t="shared" si="23"/>
        <v>0.17</v>
      </c>
      <c r="W76" s="683">
        <f t="shared" si="1"/>
        <v>0</v>
      </c>
      <c r="X76" s="683" t="str">
        <f t="shared" si="24"/>
        <v/>
      </c>
      <c r="Y76" s="690"/>
      <c r="Z76" s="695"/>
      <c r="AC76" s="5"/>
      <c r="AD76" s="5"/>
      <c r="AE76" s="5"/>
    </row>
    <row r="77" spans="2:31" x14ac:dyDescent="0.25">
      <c r="B77" s="341"/>
      <c r="C77" s="321"/>
      <c r="D77" s="342"/>
      <c r="E77" s="326"/>
      <c r="F77" s="326"/>
      <c r="G77" s="326"/>
      <c r="H77" s="277">
        <f t="shared" si="13"/>
        <v>0</v>
      </c>
      <c r="I77" s="326"/>
      <c r="J77" s="326"/>
      <c r="K77" s="326"/>
      <c r="L77" s="326"/>
      <c r="M77" s="342"/>
      <c r="N77" s="914" t="str">
        <f>IF(I77="","NA",IF(M77="",'Building Data schedule'!$C$14,M77))</f>
        <v>NA</v>
      </c>
      <c r="O77" s="684">
        <f t="shared" si="18"/>
        <v>0</v>
      </c>
      <c r="P77" s="892" t="str">
        <f t="shared" si="19"/>
        <v/>
      </c>
      <c r="Q77" s="910">
        <f t="shared" si="20"/>
        <v>0</v>
      </c>
      <c r="R77" s="683">
        <f t="shared" si="0"/>
        <v>0</v>
      </c>
      <c r="S77" s="897" t="str">
        <f t="shared" si="21"/>
        <v/>
      </c>
      <c r="T77" s="889">
        <f t="shared" si="10"/>
        <v>0</v>
      </c>
      <c r="U77" s="893" t="str">
        <f t="shared" si="22"/>
        <v/>
      </c>
      <c r="V77" s="683">
        <f t="shared" si="23"/>
        <v>0.17</v>
      </c>
      <c r="W77" s="683">
        <f t="shared" si="1"/>
        <v>0</v>
      </c>
      <c r="X77" s="683" t="str">
        <f t="shared" si="24"/>
        <v/>
      </c>
      <c r="Y77" s="690"/>
      <c r="Z77" s="695"/>
      <c r="AC77" s="5"/>
      <c r="AD77" s="5"/>
      <c r="AE77" s="5"/>
    </row>
    <row r="78" spans="2:31" x14ac:dyDescent="0.25">
      <c r="B78" s="341"/>
      <c r="C78" s="321"/>
      <c r="D78" s="342"/>
      <c r="E78" s="326"/>
      <c r="F78" s="326"/>
      <c r="G78" s="326"/>
      <c r="H78" s="277">
        <f t="shared" si="13"/>
        <v>0</v>
      </c>
      <c r="I78" s="326"/>
      <c r="J78" s="326"/>
      <c r="K78" s="326"/>
      <c r="L78" s="326"/>
      <c r="M78" s="342"/>
      <c r="N78" s="914" t="str">
        <f>IF(I78="","NA",IF(M78="",'Building Data schedule'!$C$14,M78))</f>
        <v>NA</v>
      </c>
      <c r="O78" s="684">
        <f t="shared" si="18"/>
        <v>0</v>
      </c>
      <c r="P78" s="892" t="str">
        <f t="shared" si="19"/>
        <v/>
      </c>
      <c r="Q78" s="910">
        <f t="shared" si="20"/>
        <v>0</v>
      </c>
      <c r="R78" s="683">
        <f t="shared" si="0"/>
        <v>0</v>
      </c>
      <c r="S78" s="897" t="str">
        <f t="shared" si="21"/>
        <v/>
      </c>
      <c r="T78" s="889">
        <f t="shared" si="10"/>
        <v>0</v>
      </c>
      <c r="U78" s="893" t="str">
        <f t="shared" si="22"/>
        <v/>
      </c>
      <c r="V78" s="683">
        <f t="shared" si="23"/>
        <v>0.17</v>
      </c>
      <c r="W78" s="683">
        <f t="shared" si="1"/>
        <v>0</v>
      </c>
      <c r="X78" s="683" t="str">
        <f t="shared" si="24"/>
        <v/>
      </c>
      <c r="Y78" s="690"/>
      <c r="Z78" s="695"/>
      <c r="AC78" s="5"/>
      <c r="AD78" s="5"/>
      <c r="AE78" s="5"/>
    </row>
    <row r="79" spans="2:31" x14ac:dyDescent="0.25">
      <c r="B79" s="341"/>
      <c r="C79" s="321"/>
      <c r="D79" s="342"/>
      <c r="E79" s="326"/>
      <c r="F79" s="326"/>
      <c r="G79" s="326"/>
      <c r="H79" s="277">
        <f t="shared" si="13"/>
        <v>0</v>
      </c>
      <c r="I79" s="326"/>
      <c r="J79" s="326"/>
      <c r="K79" s="326"/>
      <c r="L79" s="326"/>
      <c r="M79" s="342"/>
      <c r="N79" s="914" t="str">
        <f>IF(I79="","NA",IF(M79="",'Building Data schedule'!$C$14,M79))</f>
        <v>NA</v>
      </c>
      <c r="O79" s="684">
        <f t="shared" si="18"/>
        <v>0</v>
      </c>
      <c r="P79" s="892" t="str">
        <f t="shared" si="19"/>
        <v/>
      </c>
      <c r="Q79" s="910">
        <f t="shared" si="20"/>
        <v>0</v>
      </c>
      <c r="R79" s="683">
        <f t="shared" si="0"/>
        <v>0</v>
      </c>
      <c r="S79" s="897" t="str">
        <f t="shared" si="21"/>
        <v/>
      </c>
      <c r="T79" s="889">
        <f t="shared" si="10"/>
        <v>0</v>
      </c>
      <c r="U79" s="893" t="str">
        <f t="shared" si="22"/>
        <v/>
      </c>
      <c r="V79" s="683">
        <f t="shared" si="23"/>
        <v>0.17</v>
      </c>
      <c r="W79" s="683">
        <f t="shared" si="1"/>
        <v>0</v>
      </c>
      <c r="X79" s="683" t="str">
        <f t="shared" si="24"/>
        <v/>
      </c>
      <c r="Y79" s="690"/>
      <c r="Z79" s="695"/>
      <c r="AC79" s="5"/>
      <c r="AD79" s="5"/>
      <c r="AE79" s="5"/>
    </row>
    <row r="80" spans="2:31" x14ac:dyDescent="0.25">
      <c r="B80" s="341"/>
      <c r="C80" s="321"/>
      <c r="D80" s="342"/>
      <c r="E80" s="326"/>
      <c r="F80" s="326"/>
      <c r="G80" s="326"/>
      <c r="H80" s="277">
        <f t="shared" ref="H80:H89" si="25">E80*F80*G80</f>
        <v>0</v>
      </c>
      <c r="I80" s="326"/>
      <c r="J80" s="326"/>
      <c r="K80" s="326"/>
      <c r="L80" s="326"/>
      <c r="M80" s="342"/>
      <c r="N80" s="914" t="str">
        <f>IF(I80="","NA",IF(M80="",'Building Data schedule'!$C$14,M80))</f>
        <v>NA</v>
      </c>
      <c r="O80" s="684">
        <f t="shared" si="18"/>
        <v>0</v>
      </c>
      <c r="P80" s="892" t="str">
        <f t="shared" si="19"/>
        <v/>
      </c>
      <c r="Q80" s="910">
        <f t="shared" si="20"/>
        <v>0</v>
      </c>
      <c r="R80" s="683">
        <f t="shared" ref="R80:R89" si="26">Q80*H80</f>
        <v>0</v>
      </c>
      <c r="S80" s="897" t="str">
        <f t="shared" si="21"/>
        <v/>
      </c>
      <c r="T80" s="889">
        <f t="shared" ref="T80:T89" si="27">IF(H80=0,0,L80/H80)</f>
        <v>0</v>
      </c>
      <c r="U80" s="893" t="str">
        <f t="shared" si="22"/>
        <v/>
      </c>
      <c r="V80" s="683">
        <f t="shared" si="23"/>
        <v>0.17</v>
      </c>
      <c r="W80" s="683">
        <f t="shared" ref="W80:W89" si="28">V80*H80</f>
        <v>0</v>
      </c>
      <c r="X80" s="683" t="str">
        <f t="shared" si="24"/>
        <v/>
      </c>
      <c r="Y80" s="690"/>
      <c r="Z80" s="695"/>
      <c r="AC80" s="5"/>
      <c r="AD80" s="5"/>
      <c r="AE80" s="5"/>
    </row>
    <row r="81" spans="2:31" x14ac:dyDescent="0.25">
      <c r="B81" s="341"/>
      <c r="C81" s="321"/>
      <c r="D81" s="342"/>
      <c r="E81" s="326"/>
      <c r="F81" s="326"/>
      <c r="G81" s="326"/>
      <c r="H81" s="277">
        <f t="shared" si="25"/>
        <v>0</v>
      </c>
      <c r="I81" s="326"/>
      <c r="J81" s="326"/>
      <c r="K81" s="326"/>
      <c r="L81" s="326"/>
      <c r="M81" s="342"/>
      <c r="N81" s="914" t="str">
        <f>IF(I81="","NA",IF(M81="",'Building Data schedule'!$C$14,M81))</f>
        <v>NA</v>
      </c>
      <c r="O81" s="684">
        <f t="shared" si="18"/>
        <v>0</v>
      </c>
      <c r="P81" s="892" t="str">
        <f t="shared" si="19"/>
        <v/>
      </c>
      <c r="Q81" s="910">
        <f t="shared" si="20"/>
        <v>0</v>
      </c>
      <c r="R81" s="683">
        <f t="shared" si="26"/>
        <v>0</v>
      </c>
      <c r="S81" s="897" t="str">
        <f t="shared" si="21"/>
        <v/>
      </c>
      <c r="T81" s="889">
        <f t="shared" si="27"/>
        <v>0</v>
      </c>
      <c r="U81" s="893" t="str">
        <f t="shared" si="22"/>
        <v/>
      </c>
      <c r="V81" s="683">
        <f t="shared" si="23"/>
        <v>0.17</v>
      </c>
      <c r="W81" s="683">
        <f t="shared" si="28"/>
        <v>0</v>
      </c>
      <c r="X81" s="683" t="str">
        <f t="shared" si="24"/>
        <v/>
      </c>
      <c r="Y81" s="690"/>
      <c r="Z81" s="695"/>
      <c r="AC81" s="5"/>
      <c r="AD81" s="5"/>
      <c r="AE81" s="5"/>
    </row>
    <row r="82" spans="2:31" x14ac:dyDescent="0.25">
      <c r="B82" s="341"/>
      <c r="C82" s="321"/>
      <c r="D82" s="342"/>
      <c r="E82" s="326"/>
      <c r="F82" s="326"/>
      <c r="G82" s="326"/>
      <c r="H82" s="277">
        <f t="shared" si="25"/>
        <v>0</v>
      </c>
      <c r="I82" s="326"/>
      <c r="J82" s="326"/>
      <c r="K82" s="326"/>
      <c r="L82" s="326"/>
      <c r="M82" s="342"/>
      <c r="N82" s="914" t="str">
        <f>IF(I82="","NA",IF(M82="",'Building Data schedule'!$C$14,M82))</f>
        <v>NA</v>
      </c>
      <c r="O82" s="684">
        <f t="shared" si="18"/>
        <v>0</v>
      </c>
      <c r="P82" s="892" t="str">
        <f t="shared" si="19"/>
        <v/>
      </c>
      <c r="Q82" s="910">
        <f t="shared" si="20"/>
        <v>0</v>
      </c>
      <c r="R82" s="683">
        <f t="shared" si="26"/>
        <v>0</v>
      </c>
      <c r="S82" s="897" t="str">
        <f t="shared" si="21"/>
        <v/>
      </c>
      <c r="T82" s="889">
        <f t="shared" si="27"/>
        <v>0</v>
      </c>
      <c r="U82" s="893" t="str">
        <f t="shared" si="22"/>
        <v/>
      </c>
      <c r="V82" s="683">
        <f t="shared" si="23"/>
        <v>0.17</v>
      </c>
      <c r="W82" s="683">
        <f t="shared" si="28"/>
        <v>0</v>
      </c>
      <c r="X82" s="683" t="str">
        <f t="shared" si="24"/>
        <v/>
      </c>
      <c r="Y82" s="690"/>
      <c r="Z82" s="695"/>
      <c r="AC82" s="5"/>
      <c r="AD82" s="5"/>
      <c r="AE82" s="5"/>
    </row>
    <row r="83" spans="2:31" x14ac:dyDescent="0.25">
      <c r="B83" s="341"/>
      <c r="C83" s="321"/>
      <c r="D83" s="342"/>
      <c r="E83" s="326"/>
      <c r="F83" s="326"/>
      <c r="G83" s="326"/>
      <c r="H83" s="277">
        <f t="shared" si="25"/>
        <v>0</v>
      </c>
      <c r="I83" s="326"/>
      <c r="J83" s="326"/>
      <c r="K83" s="326"/>
      <c r="L83" s="326"/>
      <c r="M83" s="342"/>
      <c r="N83" s="914" t="str">
        <f>IF(I83="","NA",IF(M83="",'Building Data schedule'!$C$14,M83))</f>
        <v>NA</v>
      </c>
      <c r="O83" s="684">
        <f t="shared" si="18"/>
        <v>0</v>
      </c>
      <c r="P83" s="892" t="str">
        <f t="shared" si="19"/>
        <v/>
      </c>
      <c r="Q83" s="910">
        <f t="shared" si="20"/>
        <v>0</v>
      </c>
      <c r="R83" s="683">
        <f t="shared" si="26"/>
        <v>0</v>
      </c>
      <c r="S83" s="897" t="str">
        <f t="shared" si="21"/>
        <v/>
      </c>
      <c r="T83" s="889">
        <f t="shared" si="27"/>
        <v>0</v>
      </c>
      <c r="U83" s="893" t="str">
        <f t="shared" si="22"/>
        <v/>
      </c>
      <c r="V83" s="683">
        <f t="shared" si="23"/>
        <v>0.17</v>
      </c>
      <c r="W83" s="683">
        <f t="shared" si="28"/>
        <v>0</v>
      </c>
      <c r="X83" s="683" t="str">
        <f t="shared" si="24"/>
        <v/>
      </c>
      <c r="Y83" s="690"/>
      <c r="Z83" s="695"/>
      <c r="AC83" s="5"/>
      <c r="AD83" s="5"/>
      <c r="AE83" s="5"/>
    </row>
    <row r="84" spans="2:31" x14ac:dyDescent="0.25">
      <c r="B84" s="341"/>
      <c r="C84" s="321"/>
      <c r="D84" s="342"/>
      <c r="E84" s="326"/>
      <c r="F84" s="326"/>
      <c r="G84" s="326"/>
      <c r="H84" s="277">
        <f t="shared" si="25"/>
        <v>0</v>
      </c>
      <c r="I84" s="326"/>
      <c r="J84" s="326"/>
      <c r="K84" s="326"/>
      <c r="L84" s="326"/>
      <c r="M84" s="342"/>
      <c r="N84" s="914" t="str">
        <f>IF(I84="","NA",IF(M84="",'Building Data schedule'!$C$14,M84))</f>
        <v>NA</v>
      </c>
      <c r="O84" s="684">
        <f t="shared" si="18"/>
        <v>0</v>
      </c>
      <c r="P84" s="892" t="str">
        <f t="shared" si="19"/>
        <v/>
      </c>
      <c r="Q84" s="910">
        <f t="shared" si="20"/>
        <v>0</v>
      </c>
      <c r="R84" s="683">
        <f t="shared" si="26"/>
        <v>0</v>
      </c>
      <c r="S84" s="897" t="str">
        <f t="shared" si="21"/>
        <v/>
      </c>
      <c r="T84" s="889">
        <f t="shared" si="27"/>
        <v>0</v>
      </c>
      <c r="U84" s="893" t="str">
        <f t="shared" si="22"/>
        <v/>
      </c>
      <c r="V84" s="683">
        <f t="shared" si="23"/>
        <v>0.17</v>
      </c>
      <c r="W84" s="683">
        <f t="shared" si="28"/>
        <v>0</v>
      </c>
      <c r="X84" s="683" t="str">
        <f t="shared" si="24"/>
        <v/>
      </c>
      <c r="Y84" s="690"/>
      <c r="Z84" s="695"/>
      <c r="AC84" s="5"/>
      <c r="AD84" s="5"/>
      <c r="AE84" s="5"/>
    </row>
    <row r="85" spans="2:31" x14ac:dyDescent="0.25">
      <c r="B85" s="341"/>
      <c r="C85" s="321"/>
      <c r="D85" s="342"/>
      <c r="E85" s="326"/>
      <c r="F85" s="326"/>
      <c r="G85" s="326"/>
      <c r="H85" s="277">
        <f t="shared" si="25"/>
        <v>0</v>
      </c>
      <c r="I85" s="326"/>
      <c r="J85" s="326"/>
      <c r="K85" s="326"/>
      <c r="L85" s="326"/>
      <c r="M85" s="342"/>
      <c r="N85" s="914" t="str">
        <f>IF(I85="","NA",IF(M85="",'Building Data schedule'!$C$14,M85))</f>
        <v>NA</v>
      </c>
      <c r="O85" s="684">
        <f t="shared" si="18"/>
        <v>0</v>
      </c>
      <c r="P85" s="892" t="str">
        <f t="shared" si="19"/>
        <v/>
      </c>
      <c r="Q85" s="910">
        <f t="shared" si="20"/>
        <v>0</v>
      </c>
      <c r="R85" s="683">
        <f t="shared" si="26"/>
        <v>0</v>
      </c>
      <c r="S85" s="897" t="str">
        <f t="shared" si="21"/>
        <v/>
      </c>
      <c r="T85" s="889">
        <f t="shared" si="27"/>
        <v>0</v>
      </c>
      <c r="U85" s="893" t="str">
        <f t="shared" si="22"/>
        <v/>
      </c>
      <c r="V85" s="683">
        <f t="shared" si="23"/>
        <v>0.17</v>
      </c>
      <c r="W85" s="683">
        <f t="shared" si="28"/>
        <v>0</v>
      </c>
      <c r="X85" s="683" t="str">
        <f t="shared" si="24"/>
        <v/>
      </c>
      <c r="Y85" s="690"/>
      <c r="Z85" s="695"/>
      <c r="AC85" s="5"/>
      <c r="AD85" s="5"/>
      <c r="AE85" s="5"/>
    </row>
    <row r="86" spans="2:31" x14ac:dyDescent="0.25">
      <c r="B86" s="341"/>
      <c r="C86" s="321"/>
      <c r="D86" s="342"/>
      <c r="E86" s="326"/>
      <c r="F86" s="326"/>
      <c r="G86" s="326"/>
      <c r="H86" s="277">
        <f t="shared" si="25"/>
        <v>0</v>
      </c>
      <c r="I86" s="326"/>
      <c r="J86" s="326"/>
      <c r="K86" s="326"/>
      <c r="L86" s="326"/>
      <c r="M86" s="342"/>
      <c r="N86" s="914" t="str">
        <f>IF(I86="","NA",IF(M86="",'Building Data schedule'!$C$14,M86))</f>
        <v>NA</v>
      </c>
      <c r="O86" s="684">
        <f t="shared" si="18"/>
        <v>0</v>
      </c>
      <c r="P86" s="892" t="str">
        <f t="shared" si="19"/>
        <v/>
      </c>
      <c r="Q86" s="910">
        <f t="shared" si="20"/>
        <v>0</v>
      </c>
      <c r="R86" s="683">
        <f t="shared" si="26"/>
        <v>0</v>
      </c>
      <c r="S86" s="897" t="str">
        <f t="shared" si="21"/>
        <v/>
      </c>
      <c r="T86" s="889">
        <f t="shared" si="27"/>
        <v>0</v>
      </c>
      <c r="U86" s="893" t="str">
        <f t="shared" si="22"/>
        <v/>
      </c>
      <c r="V86" s="683">
        <f t="shared" si="23"/>
        <v>0.17</v>
      </c>
      <c r="W86" s="683">
        <f t="shared" si="28"/>
        <v>0</v>
      </c>
      <c r="X86" s="683" t="str">
        <f t="shared" si="24"/>
        <v/>
      </c>
      <c r="Y86" s="690"/>
      <c r="Z86" s="695"/>
      <c r="AC86" s="5"/>
      <c r="AD86" s="5"/>
      <c r="AE86" s="5"/>
    </row>
    <row r="87" spans="2:31" x14ac:dyDescent="0.25">
      <c r="B87" s="341"/>
      <c r="C87" s="321"/>
      <c r="D87" s="342"/>
      <c r="E87" s="326"/>
      <c r="F87" s="326"/>
      <c r="G87" s="326"/>
      <c r="H87" s="277">
        <f t="shared" si="25"/>
        <v>0</v>
      </c>
      <c r="I87" s="326"/>
      <c r="J87" s="326"/>
      <c r="K87" s="326"/>
      <c r="L87" s="326"/>
      <c r="M87" s="342"/>
      <c r="N87" s="914" t="str">
        <f>IF(I87="","NA",IF(M87="",'Building Data schedule'!$C$14,M87))</f>
        <v>NA</v>
      </c>
      <c r="O87" s="684">
        <f t="shared" si="18"/>
        <v>0</v>
      </c>
      <c r="P87" s="892" t="str">
        <f t="shared" si="19"/>
        <v/>
      </c>
      <c r="Q87" s="910">
        <f t="shared" si="20"/>
        <v>0</v>
      </c>
      <c r="R87" s="683">
        <f t="shared" si="26"/>
        <v>0</v>
      </c>
      <c r="S87" s="897" t="str">
        <f t="shared" si="21"/>
        <v/>
      </c>
      <c r="T87" s="889">
        <f t="shared" si="27"/>
        <v>0</v>
      </c>
      <c r="U87" s="893" t="str">
        <f t="shared" si="22"/>
        <v/>
      </c>
      <c r="V87" s="683">
        <f t="shared" si="23"/>
        <v>0.17</v>
      </c>
      <c r="W87" s="683">
        <f t="shared" si="28"/>
        <v>0</v>
      </c>
      <c r="X87" s="683" t="str">
        <f t="shared" si="24"/>
        <v/>
      </c>
      <c r="Y87" s="690"/>
      <c r="Z87" s="695"/>
      <c r="AC87" s="5"/>
      <c r="AD87" s="5"/>
      <c r="AE87" s="5"/>
    </row>
    <row r="88" spans="2:31" x14ac:dyDescent="0.25">
      <c r="B88" s="341"/>
      <c r="C88" s="321"/>
      <c r="D88" s="342"/>
      <c r="E88" s="326"/>
      <c r="F88" s="326"/>
      <c r="G88" s="326"/>
      <c r="H88" s="277">
        <f t="shared" si="25"/>
        <v>0</v>
      </c>
      <c r="I88" s="326"/>
      <c r="J88" s="326"/>
      <c r="K88" s="326"/>
      <c r="L88" s="326"/>
      <c r="M88" s="342"/>
      <c r="N88" s="914" t="str">
        <f>IF(I88="","NA",IF(M88="",'Building Data schedule'!$C$14,M88))</f>
        <v>NA</v>
      </c>
      <c r="O88" s="684">
        <f t="shared" si="18"/>
        <v>0</v>
      </c>
      <c r="P88" s="892" t="str">
        <f t="shared" si="19"/>
        <v/>
      </c>
      <c r="Q88" s="910">
        <f t="shared" si="20"/>
        <v>0</v>
      </c>
      <c r="R88" s="683">
        <f t="shared" si="26"/>
        <v>0</v>
      </c>
      <c r="S88" s="897" t="str">
        <f t="shared" si="21"/>
        <v/>
      </c>
      <c r="T88" s="889">
        <f t="shared" si="27"/>
        <v>0</v>
      </c>
      <c r="U88" s="893" t="str">
        <f t="shared" si="22"/>
        <v/>
      </c>
      <c r="V88" s="683">
        <f t="shared" si="23"/>
        <v>0.17</v>
      </c>
      <c r="W88" s="683">
        <f t="shared" si="28"/>
        <v>0</v>
      </c>
      <c r="X88" s="683" t="str">
        <f t="shared" si="24"/>
        <v/>
      </c>
      <c r="Y88" s="690"/>
      <c r="Z88" s="695"/>
      <c r="AC88" s="5"/>
      <c r="AD88" s="5"/>
      <c r="AE88" s="5"/>
    </row>
    <row r="89" spans="2:31" x14ac:dyDescent="0.25">
      <c r="B89" s="341"/>
      <c r="C89" s="321"/>
      <c r="D89" s="342"/>
      <c r="E89" s="326"/>
      <c r="F89" s="326"/>
      <c r="G89" s="326"/>
      <c r="H89" s="277">
        <f t="shared" si="25"/>
        <v>0</v>
      </c>
      <c r="I89" s="326"/>
      <c r="J89" s="326"/>
      <c r="K89" s="326"/>
      <c r="L89" s="326"/>
      <c r="M89" s="342"/>
      <c r="N89" s="914" t="str">
        <f>IF(I89="","NA",IF(M89="",'Building Data schedule'!$C$14,M89))</f>
        <v>NA</v>
      </c>
      <c r="O89" s="684">
        <f t="shared" si="18"/>
        <v>0</v>
      </c>
      <c r="P89" s="892" t="str">
        <f t="shared" si="19"/>
        <v/>
      </c>
      <c r="Q89" s="910">
        <f t="shared" si="20"/>
        <v>0</v>
      </c>
      <c r="R89" s="683">
        <f t="shared" si="26"/>
        <v>0</v>
      </c>
      <c r="S89" s="897" t="str">
        <f t="shared" si="21"/>
        <v/>
      </c>
      <c r="T89" s="889">
        <f t="shared" si="27"/>
        <v>0</v>
      </c>
      <c r="U89" s="893" t="str">
        <f t="shared" si="22"/>
        <v/>
      </c>
      <c r="V89" s="683">
        <f t="shared" si="23"/>
        <v>0.17</v>
      </c>
      <c r="W89" s="683">
        <f t="shared" si="28"/>
        <v>0</v>
      </c>
      <c r="X89" s="683" t="str">
        <f t="shared" si="24"/>
        <v/>
      </c>
      <c r="Y89" s="690"/>
      <c r="Z89" s="695"/>
      <c r="AC89" s="5"/>
      <c r="AD89" s="5"/>
      <c r="AE89" s="5"/>
    </row>
    <row r="90" spans="2:31" x14ac:dyDescent="0.25">
      <c r="B90" s="341"/>
      <c r="C90" s="321"/>
      <c r="D90" s="342"/>
      <c r="E90" s="326"/>
      <c r="F90" s="326"/>
      <c r="G90" s="326"/>
      <c r="H90" s="277">
        <f t="shared" si="13"/>
        <v>0</v>
      </c>
      <c r="I90" s="326"/>
      <c r="J90" s="326"/>
      <c r="K90" s="326"/>
      <c r="L90" s="326"/>
      <c r="M90" s="342"/>
      <c r="N90" s="914" t="str">
        <f>IF(I90="","NA",IF(M90="",'Building Data schedule'!$C$14,M90))</f>
        <v>NA</v>
      </c>
      <c r="O90" s="684">
        <f t="shared" si="18"/>
        <v>0</v>
      </c>
      <c r="P90" s="892" t="str">
        <f t="shared" si="19"/>
        <v/>
      </c>
      <c r="Q90" s="910">
        <f t="shared" si="20"/>
        <v>0</v>
      </c>
      <c r="R90" s="683">
        <f t="shared" si="0"/>
        <v>0</v>
      </c>
      <c r="S90" s="897" t="str">
        <f t="shared" si="21"/>
        <v/>
      </c>
      <c r="T90" s="889">
        <f t="shared" si="10"/>
        <v>0</v>
      </c>
      <c r="U90" s="893" t="str">
        <f t="shared" si="22"/>
        <v/>
      </c>
      <c r="V90" s="683">
        <f t="shared" si="23"/>
        <v>0.17</v>
      </c>
      <c r="W90" s="683">
        <f t="shared" si="1"/>
        <v>0</v>
      </c>
      <c r="X90" s="683" t="str">
        <f t="shared" si="24"/>
        <v/>
      </c>
      <c r="Y90" s="690"/>
      <c r="Z90" s="695"/>
      <c r="AC90" s="5"/>
      <c r="AD90" s="5"/>
      <c r="AE90" s="5"/>
    </row>
    <row r="91" spans="2:31" x14ac:dyDescent="0.25">
      <c r="B91" s="341"/>
      <c r="C91" s="321"/>
      <c r="D91" s="342"/>
      <c r="E91" s="326"/>
      <c r="F91" s="326"/>
      <c r="G91" s="326"/>
      <c r="H91" s="277">
        <f t="shared" si="13"/>
        <v>0</v>
      </c>
      <c r="I91" s="326"/>
      <c r="J91" s="326"/>
      <c r="K91" s="326"/>
      <c r="L91" s="326"/>
      <c r="M91" s="342"/>
      <c r="N91" s="914" t="str">
        <f>IF(I91="","NA",IF(M91="",'Building Data schedule'!$C$14,M91))</f>
        <v>NA</v>
      </c>
      <c r="O91" s="684">
        <f t="shared" si="18"/>
        <v>0</v>
      </c>
      <c r="P91" s="892" t="str">
        <f t="shared" si="19"/>
        <v/>
      </c>
      <c r="Q91" s="910">
        <f t="shared" si="20"/>
        <v>0</v>
      </c>
      <c r="R91" s="683">
        <f t="shared" si="0"/>
        <v>0</v>
      </c>
      <c r="S91" s="897" t="str">
        <f t="shared" si="21"/>
        <v/>
      </c>
      <c r="T91" s="889">
        <f t="shared" si="10"/>
        <v>0</v>
      </c>
      <c r="U91" s="893" t="str">
        <f t="shared" si="22"/>
        <v/>
      </c>
      <c r="V91" s="683">
        <f t="shared" si="23"/>
        <v>0.17</v>
      </c>
      <c r="W91" s="683">
        <f t="shared" si="1"/>
        <v>0</v>
      </c>
      <c r="X91" s="683" t="str">
        <f t="shared" si="24"/>
        <v/>
      </c>
      <c r="Y91" s="690"/>
      <c r="Z91" s="695"/>
      <c r="AC91" s="5"/>
      <c r="AD91" s="5"/>
      <c r="AE91" s="5"/>
    </row>
    <row r="92" spans="2:31" x14ac:dyDescent="0.25">
      <c r="B92" s="341"/>
      <c r="C92" s="321"/>
      <c r="D92" s="342"/>
      <c r="E92" s="326"/>
      <c r="F92" s="326"/>
      <c r="G92" s="326"/>
      <c r="H92" s="277">
        <f t="shared" si="13"/>
        <v>0</v>
      </c>
      <c r="I92" s="326"/>
      <c r="J92" s="326"/>
      <c r="K92" s="326"/>
      <c r="L92" s="326"/>
      <c r="M92" s="342"/>
      <c r="N92" s="914" t="str">
        <f>IF(I92="","NA",IF(M92="",'Building Data schedule'!$C$14,M92))</f>
        <v>NA</v>
      </c>
      <c r="O92" s="684">
        <f t="shared" si="18"/>
        <v>0</v>
      </c>
      <c r="P92" s="892" t="str">
        <f t="shared" si="19"/>
        <v/>
      </c>
      <c r="Q92" s="910">
        <f t="shared" si="20"/>
        <v>0</v>
      </c>
      <c r="R92" s="683">
        <f t="shared" si="0"/>
        <v>0</v>
      </c>
      <c r="S92" s="897" t="str">
        <f t="shared" si="21"/>
        <v/>
      </c>
      <c r="T92" s="889">
        <f t="shared" si="10"/>
        <v>0</v>
      </c>
      <c r="U92" s="893" t="str">
        <f t="shared" si="22"/>
        <v/>
      </c>
      <c r="V92" s="683">
        <f t="shared" si="23"/>
        <v>0.17</v>
      </c>
      <c r="W92" s="683">
        <f t="shared" si="1"/>
        <v>0</v>
      </c>
      <c r="X92" s="683" t="str">
        <f t="shared" si="24"/>
        <v/>
      </c>
      <c r="Y92" s="690"/>
      <c r="Z92" s="695"/>
      <c r="AC92" s="5"/>
      <c r="AD92" s="5"/>
      <c r="AE92" s="5"/>
    </row>
    <row r="93" spans="2:31" x14ac:dyDescent="0.25">
      <c r="B93" s="341"/>
      <c r="C93" s="321"/>
      <c r="D93" s="342"/>
      <c r="E93" s="326"/>
      <c r="F93" s="326"/>
      <c r="G93" s="326"/>
      <c r="H93" s="277">
        <f t="shared" si="13"/>
        <v>0</v>
      </c>
      <c r="I93" s="326"/>
      <c r="J93" s="326"/>
      <c r="K93" s="326"/>
      <c r="L93" s="326"/>
      <c r="M93" s="342"/>
      <c r="N93" s="914" t="str">
        <f>IF(I93="","NA",IF(M93="",'Building Data schedule'!$C$14,M93))</f>
        <v>NA</v>
      </c>
      <c r="O93" s="684">
        <f t="shared" si="18"/>
        <v>0</v>
      </c>
      <c r="P93" s="892" t="str">
        <f t="shared" si="19"/>
        <v/>
      </c>
      <c r="Q93" s="910">
        <f t="shared" si="20"/>
        <v>0</v>
      </c>
      <c r="R93" s="683">
        <f t="shared" si="0"/>
        <v>0</v>
      </c>
      <c r="S93" s="897" t="str">
        <f t="shared" si="21"/>
        <v/>
      </c>
      <c r="T93" s="889">
        <f t="shared" si="10"/>
        <v>0</v>
      </c>
      <c r="U93" s="893" t="str">
        <f t="shared" si="22"/>
        <v/>
      </c>
      <c r="V93" s="683">
        <f t="shared" si="23"/>
        <v>0.17</v>
      </c>
      <c r="W93" s="683">
        <f t="shared" si="1"/>
        <v>0</v>
      </c>
      <c r="X93" s="683" t="str">
        <f t="shared" si="24"/>
        <v/>
      </c>
      <c r="Y93" s="690"/>
      <c r="Z93" s="695"/>
      <c r="AC93" s="5"/>
      <c r="AD93" s="5"/>
      <c r="AE93" s="5"/>
    </row>
    <row r="94" spans="2:31" x14ac:dyDescent="0.25">
      <c r="B94" s="341"/>
      <c r="C94" s="321"/>
      <c r="D94" s="342"/>
      <c r="E94" s="326"/>
      <c r="F94" s="326"/>
      <c r="G94" s="326"/>
      <c r="H94" s="277">
        <f t="shared" ref="H94:H99" si="29">E94*F94*G94</f>
        <v>0</v>
      </c>
      <c r="I94" s="326"/>
      <c r="J94" s="326"/>
      <c r="K94" s="326"/>
      <c r="L94" s="326"/>
      <c r="M94" s="342"/>
      <c r="N94" s="914" t="str">
        <f>IF(I94="","NA",IF(M94="",'Building Data schedule'!$C$14,M94))</f>
        <v>NA</v>
      </c>
      <c r="O94" s="684">
        <f t="shared" si="18"/>
        <v>0</v>
      </c>
      <c r="P94" s="892" t="str">
        <f t="shared" si="19"/>
        <v/>
      </c>
      <c r="Q94" s="910">
        <f t="shared" si="20"/>
        <v>0</v>
      </c>
      <c r="R94" s="683">
        <f t="shared" ref="R94:R99" si="30">Q94*H94</f>
        <v>0</v>
      </c>
      <c r="S94" s="897" t="str">
        <f t="shared" si="21"/>
        <v/>
      </c>
      <c r="T94" s="889">
        <f t="shared" ref="T94:T99" si="31">IF(H94=0,0,L94/H94)</f>
        <v>0</v>
      </c>
      <c r="U94" s="893" t="str">
        <f t="shared" si="22"/>
        <v/>
      </c>
      <c r="V94" s="683">
        <f t="shared" si="23"/>
        <v>0.17</v>
      </c>
      <c r="W94" s="683">
        <f t="shared" ref="W94:W99" si="32">V94*H94</f>
        <v>0</v>
      </c>
      <c r="X94" s="683" t="str">
        <f t="shared" si="24"/>
        <v/>
      </c>
      <c r="Y94" s="690"/>
      <c r="Z94" s="695"/>
      <c r="AC94" s="5"/>
      <c r="AD94" s="5"/>
      <c r="AE94" s="5"/>
    </row>
    <row r="95" spans="2:31" x14ac:dyDescent="0.25">
      <c r="B95" s="341"/>
      <c r="C95" s="321"/>
      <c r="D95" s="342"/>
      <c r="E95" s="326"/>
      <c r="F95" s="326"/>
      <c r="G95" s="326"/>
      <c r="H95" s="277">
        <f t="shared" si="29"/>
        <v>0</v>
      </c>
      <c r="I95" s="326"/>
      <c r="J95" s="326"/>
      <c r="K95" s="326"/>
      <c r="L95" s="326"/>
      <c r="M95" s="342"/>
      <c r="N95" s="914" t="str">
        <f>IF(I95="","NA",IF(M95="",'Building Data schedule'!$C$14,M95))</f>
        <v>NA</v>
      </c>
      <c r="O95" s="684">
        <f t="shared" si="18"/>
        <v>0</v>
      </c>
      <c r="P95" s="892" t="str">
        <f t="shared" si="19"/>
        <v/>
      </c>
      <c r="Q95" s="910">
        <f t="shared" si="20"/>
        <v>0</v>
      </c>
      <c r="R95" s="683">
        <f t="shared" si="30"/>
        <v>0</v>
      </c>
      <c r="S95" s="897" t="str">
        <f t="shared" si="21"/>
        <v/>
      </c>
      <c r="T95" s="889">
        <f t="shared" si="31"/>
        <v>0</v>
      </c>
      <c r="U95" s="893" t="str">
        <f t="shared" si="22"/>
        <v/>
      </c>
      <c r="V95" s="683">
        <f t="shared" si="23"/>
        <v>0.17</v>
      </c>
      <c r="W95" s="683">
        <f t="shared" si="32"/>
        <v>0</v>
      </c>
      <c r="X95" s="683" t="str">
        <f t="shared" si="24"/>
        <v/>
      </c>
      <c r="Y95" s="690"/>
      <c r="Z95" s="695"/>
      <c r="AC95" s="5"/>
      <c r="AD95" s="5"/>
      <c r="AE95" s="5"/>
    </row>
    <row r="96" spans="2:31" x14ac:dyDescent="0.25">
      <c r="B96" s="341"/>
      <c r="C96" s="321"/>
      <c r="D96" s="342"/>
      <c r="E96" s="326"/>
      <c r="F96" s="326"/>
      <c r="G96" s="326"/>
      <c r="H96" s="277">
        <f t="shared" si="29"/>
        <v>0</v>
      </c>
      <c r="I96" s="326"/>
      <c r="J96" s="326"/>
      <c r="K96" s="326"/>
      <c r="L96" s="326"/>
      <c r="M96" s="342"/>
      <c r="N96" s="914" t="str">
        <f>IF(I96="","NA",IF(M96="",'Building Data schedule'!$C$14,M96))</f>
        <v>NA</v>
      </c>
      <c r="O96" s="684">
        <f t="shared" si="18"/>
        <v>0</v>
      </c>
      <c r="P96" s="892" t="str">
        <f t="shared" si="19"/>
        <v/>
      </c>
      <c r="Q96" s="910">
        <f t="shared" si="20"/>
        <v>0</v>
      </c>
      <c r="R96" s="683">
        <f t="shared" si="30"/>
        <v>0</v>
      </c>
      <c r="S96" s="897" t="str">
        <f t="shared" si="21"/>
        <v/>
      </c>
      <c r="T96" s="889">
        <f t="shared" si="31"/>
        <v>0</v>
      </c>
      <c r="U96" s="893" t="str">
        <f t="shared" si="22"/>
        <v/>
      </c>
      <c r="V96" s="683">
        <f t="shared" si="23"/>
        <v>0.17</v>
      </c>
      <c r="W96" s="683">
        <f t="shared" si="32"/>
        <v>0</v>
      </c>
      <c r="X96" s="683" t="str">
        <f t="shared" si="24"/>
        <v/>
      </c>
      <c r="Y96" s="690"/>
      <c r="Z96" s="695"/>
      <c r="AC96" s="5"/>
      <c r="AD96" s="5"/>
      <c r="AE96" s="5"/>
    </row>
    <row r="97" spans="2:31" x14ac:dyDescent="0.25">
      <c r="B97" s="341"/>
      <c r="C97" s="321"/>
      <c r="D97" s="342"/>
      <c r="E97" s="326"/>
      <c r="F97" s="326"/>
      <c r="G97" s="326"/>
      <c r="H97" s="277">
        <f t="shared" si="29"/>
        <v>0</v>
      </c>
      <c r="I97" s="326"/>
      <c r="J97" s="326"/>
      <c r="K97" s="326"/>
      <c r="L97" s="326"/>
      <c r="M97" s="342"/>
      <c r="N97" s="914" t="str">
        <f>IF(I97="","NA",IF(M97="",'Building Data schedule'!$C$14,M97))</f>
        <v>NA</v>
      </c>
      <c r="O97" s="684">
        <f t="shared" si="18"/>
        <v>0</v>
      </c>
      <c r="P97" s="892" t="str">
        <f t="shared" si="19"/>
        <v/>
      </c>
      <c r="Q97" s="910">
        <f t="shared" si="20"/>
        <v>0</v>
      </c>
      <c r="R97" s="683">
        <f t="shared" si="30"/>
        <v>0</v>
      </c>
      <c r="S97" s="897" t="str">
        <f t="shared" si="21"/>
        <v/>
      </c>
      <c r="T97" s="889">
        <f t="shared" si="31"/>
        <v>0</v>
      </c>
      <c r="U97" s="893" t="str">
        <f t="shared" si="22"/>
        <v/>
      </c>
      <c r="V97" s="683">
        <f t="shared" si="23"/>
        <v>0.17</v>
      </c>
      <c r="W97" s="683">
        <f t="shared" si="32"/>
        <v>0</v>
      </c>
      <c r="X97" s="683" t="str">
        <f t="shared" si="24"/>
        <v/>
      </c>
      <c r="Y97" s="690"/>
      <c r="Z97" s="695"/>
      <c r="AC97" s="5"/>
      <c r="AD97" s="5"/>
      <c r="AE97" s="5"/>
    </row>
    <row r="98" spans="2:31" x14ac:dyDescent="0.25">
      <c r="B98" s="341"/>
      <c r="C98" s="321"/>
      <c r="D98" s="342"/>
      <c r="E98" s="326"/>
      <c r="F98" s="326"/>
      <c r="G98" s="326"/>
      <c r="H98" s="277">
        <f t="shared" si="29"/>
        <v>0</v>
      </c>
      <c r="I98" s="326"/>
      <c r="J98" s="326"/>
      <c r="K98" s="326"/>
      <c r="L98" s="326"/>
      <c r="M98" s="342"/>
      <c r="N98" s="914" t="str">
        <f>IF(I98="","NA",IF(M98="",'Building Data schedule'!$C$14,M98))</f>
        <v>NA</v>
      </c>
      <c r="O98" s="684">
        <f t="shared" si="18"/>
        <v>0</v>
      </c>
      <c r="P98" s="892" t="str">
        <f t="shared" si="19"/>
        <v/>
      </c>
      <c r="Q98" s="910">
        <f t="shared" si="20"/>
        <v>0</v>
      </c>
      <c r="R98" s="683">
        <f t="shared" si="30"/>
        <v>0</v>
      </c>
      <c r="S98" s="897" t="str">
        <f t="shared" si="21"/>
        <v/>
      </c>
      <c r="T98" s="889">
        <f t="shared" si="31"/>
        <v>0</v>
      </c>
      <c r="U98" s="893" t="str">
        <f t="shared" si="22"/>
        <v/>
      </c>
      <c r="V98" s="683">
        <f t="shared" si="23"/>
        <v>0.17</v>
      </c>
      <c r="W98" s="683">
        <f t="shared" si="32"/>
        <v>0</v>
      </c>
      <c r="X98" s="683" t="str">
        <f t="shared" si="24"/>
        <v/>
      </c>
      <c r="Y98" s="690"/>
      <c r="Z98" s="695"/>
      <c r="AC98" s="5"/>
      <c r="AD98" s="5"/>
      <c r="AE98" s="5"/>
    </row>
    <row r="99" spans="2:31" x14ac:dyDescent="0.25">
      <c r="B99" s="341"/>
      <c r="C99" s="321"/>
      <c r="D99" s="342"/>
      <c r="E99" s="326"/>
      <c r="F99" s="326"/>
      <c r="G99" s="326"/>
      <c r="H99" s="277">
        <f t="shared" si="29"/>
        <v>0</v>
      </c>
      <c r="I99" s="326"/>
      <c r="J99" s="326"/>
      <c r="K99" s="326"/>
      <c r="L99" s="326"/>
      <c r="M99" s="342"/>
      <c r="N99" s="914" t="str">
        <f>IF(I99="","NA",IF(M99="",'Building Data schedule'!$C$14,M99))</f>
        <v>NA</v>
      </c>
      <c r="O99" s="684">
        <f t="shared" si="18"/>
        <v>0</v>
      </c>
      <c r="P99" s="892" t="str">
        <f t="shared" si="19"/>
        <v/>
      </c>
      <c r="Q99" s="910">
        <f t="shared" si="20"/>
        <v>0</v>
      </c>
      <c r="R99" s="683">
        <f t="shared" si="30"/>
        <v>0</v>
      </c>
      <c r="S99" s="897" t="str">
        <f t="shared" si="21"/>
        <v/>
      </c>
      <c r="T99" s="889">
        <f t="shared" si="31"/>
        <v>0</v>
      </c>
      <c r="U99" s="893" t="str">
        <f t="shared" si="22"/>
        <v/>
      </c>
      <c r="V99" s="683">
        <f t="shared" si="23"/>
        <v>0.17</v>
      </c>
      <c r="W99" s="683">
        <f t="shared" si="32"/>
        <v>0</v>
      </c>
      <c r="X99" s="683" t="str">
        <f t="shared" si="24"/>
        <v/>
      </c>
      <c r="Y99" s="690"/>
      <c r="Z99" s="695"/>
      <c r="AC99" s="5"/>
      <c r="AD99" s="5"/>
      <c r="AE99" s="5"/>
    </row>
    <row r="100" spans="2:31" x14ac:dyDescent="0.25">
      <c r="B100" s="341"/>
      <c r="C100" s="321"/>
      <c r="D100" s="342"/>
      <c r="E100" s="326"/>
      <c r="F100" s="326"/>
      <c r="G100" s="326"/>
      <c r="H100" s="277">
        <f t="shared" si="13"/>
        <v>0</v>
      </c>
      <c r="I100" s="326"/>
      <c r="J100" s="326"/>
      <c r="K100" s="326"/>
      <c r="L100" s="326"/>
      <c r="M100" s="342"/>
      <c r="N100" s="914" t="str">
        <f>IF(I100="","NA",IF(M100="",'Building Data schedule'!$C$14,M100))</f>
        <v>NA</v>
      </c>
      <c r="O100" s="684">
        <f t="shared" si="18"/>
        <v>0</v>
      </c>
      <c r="P100" s="892" t="str">
        <f t="shared" si="19"/>
        <v/>
      </c>
      <c r="Q100" s="910">
        <f t="shared" si="20"/>
        <v>0</v>
      </c>
      <c r="R100" s="683">
        <f t="shared" si="0"/>
        <v>0</v>
      </c>
      <c r="S100" s="897" t="str">
        <f t="shared" si="21"/>
        <v/>
      </c>
      <c r="T100" s="889">
        <f t="shared" si="10"/>
        <v>0</v>
      </c>
      <c r="U100" s="893" t="str">
        <f t="shared" si="22"/>
        <v/>
      </c>
      <c r="V100" s="683">
        <f t="shared" si="23"/>
        <v>0.17</v>
      </c>
      <c r="W100" s="683">
        <f t="shared" si="1"/>
        <v>0</v>
      </c>
      <c r="X100" s="683" t="str">
        <f t="shared" si="24"/>
        <v/>
      </c>
      <c r="Y100" s="690"/>
      <c r="Z100" s="695"/>
      <c r="AC100" s="5"/>
      <c r="AD100" s="5"/>
      <c r="AE100" s="5"/>
    </row>
    <row r="101" spans="2:31" x14ac:dyDescent="0.25">
      <c r="B101" s="341"/>
      <c r="C101" s="321"/>
      <c r="D101" s="342"/>
      <c r="E101" s="326"/>
      <c r="F101" s="326"/>
      <c r="G101" s="326"/>
      <c r="H101" s="277">
        <f t="shared" si="13"/>
        <v>0</v>
      </c>
      <c r="I101" s="326"/>
      <c r="J101" s="326"/>
      <c r="K101" s="326"/>
      <c r="L101" s="326"/>
      <c r="M101" s="342"/>
      <c r="N101" s="914" t="str">
        <f>IF(I101="","NA",IF(M101="",'Building Data schedule'!$C$14,M101))</f>
        <v>NA</v>
      </c>
      <c r="O101" s="684">
        <f t="shared" si="18"/>
        <v>0</v>
      </c>
      <c r="P101" s="892" t="str">
        <f t="shared" si="19"/>
        <v/>
      </c>
      <c r="Q101" s="910">
        <f t="shared" si="20"/>
        <v>0</v>
      </c>
      <c r="R101" s="683">
        <f t="shared" si="0"/>
        <v>0</v>
      </c>
      <c r="S101" s="897" t="str">
        <f t="shared" si="21"/>
        <v/>
      </c>
      <c r="T101" s="889">
        <f t="shared" si="10"/>
        <v>0</v>
      </c>
      <c r="U101" s="893" t="str">
        <f t="shared" si="22"/>
        <v/>
      </c>
      <c r="V101" s="683">
        <f t="shared" si="23"/>
        <v>0.17</v>
      </c>
      <c r="W101" s="683">
        <f t="shared" si="1"/>
        <v>0</v>
      </c>
      <c r="X101" s="683" t="str">
        <f t="shared" si="24"/>
        <v/>
      </c>
      <c r="Y101" s="690"/>
      <c r="Z101" s="695"/>
      <c r="AC101" s="5"/>
      <c r="AD101" s="5"/>
      <c r="AE101" s="5"/>
    </row>
    <row r="102" spans="2:31" x14ac:dyDescent="0.25">
      <c r="B102" s="341"/>
      <c r="C102" s="321"/>
      <c r="D102" s="342"/>
      <c r="E102" s="326"/>
      <c r="F102" s="326"/>
      <c r="G102" s="326"/>
      <c r="H102" s="277">
        <f t="shared" si="13"/>
        <v>0</v>
      </c>
      <c r="I102" s="326"/>
      <c r="J102" s="326"/>
      <c r="K102" s="326"/>
      <c r="L102" s="326"/>
      <c r="M102" s="342"/>
      <c r="N102" s="914" t="str">
        <f>IF(I102="","NA",IF(M102="",'Building Data schedule'!$C$14,M102))</f>
        <v>NA</v>
      </c>
      <c r="O102" s="684">
        <f t="shared" si="18"/>
        <v>0</v>
      </c>
      <c r="P102" s="892" t="str">
        <f t="shared" si="19"/>
        <v/>
      </c>
      <c r="Q102" s="910">
        <f t="shared" si="20"/>
        <v>0</v>
      </c>
      <c r="R102" s="683">
        <f t="shared" si="0"/>
        <v>0</v>
      </c>
      <c r="S102" s="897" t="str">
        <f t="shared" si="21"/>
        <v/>
      </c>
      <c r="T102" s="889">
        <f t="shared" si="10"/>
        <v>0</v>
      </c>
      <c r="U102" s="893" t="str">
        <f t="shared" si="22"/>
        <v/>
      </c>
      <c r="V102" s="683">
        <f t="shared" si="23"/>
        <v>0.17</v>
      </c>
      <c r="W102" s="683">
        <f t="shared" si="1"/>
        <v>0</v>
      </c>
      <c r="X102" s="683" t="str">
        <f t="shared" si="24"/>
        <v/>
      </c>
      <c r="Y102" s="690"/>
      <c r="Z102" s="695"/>
      <c r="AC102" s="5"/>
      <c r="AD102" s="5"/>
      <c r="AE102" s="5"/>
    </row>
    <row r="103" spans="2:31" x14ac:dyDescent="0.25">
      <c r="B103" s="341"/>
      <c r="C103" s="321"/>
      <c r="D103" s="342"/>
      <c r="E103" s="326"/>
      <c r="F103" s="326"/>
      <c r="G103" s="326"/>
      <c r="H103" s="277">
        <f t="shared" si="13"/>
        <v>0</v>
      </c>
      <c r="I103" s="326"/>
      <c r="J103" s="326"/>
      <c r="K103" s="326"/>
      <c r="L103" s="326"/>
      <c r="M103" s="342"/>
      <c r="N103" s="914" t="str">
        <f>IF(I103="","NA",IF(M103="",'Building Data schedule'!$C$14,M103))</f>
        <v>NA</v>
      </c>
      <c r="O103" s="684">
        <f t="shared" si="18"/>
        <v>0</v>
      </c>
      <c r="P103" s="892" t="str">
        <f t="shared" si="19"/>
        <v/>
      </c>
      <c r="Q103" s="910">
        <f t="shared" si="20"/>
        <v>0</v>
      </c>
      <c r="R103" s="683">
        <f t="shared" si="0"/>
        <v>0</v>
      </c>
      <c r="S103" s="897" t="str">
        <f t="shared" si="21"/>
        <v/>
      </c>
      <c r="T103" s="889">
        <f t="shared" si="10"/>
        <v>0</v>
      </c>
      <c r="U103" s="893" t="str">
        <f t="shared" si="22"/>
        <v/>
      </c>
      <c r="V103" s="683">
        <f t="shared" si="23"/>
        <v>0.17</v>
      </c>
      <c r="W103" s="683">
        <f t="shared" si="1"/>
        <v>0</v>
      </c>
      <c r="X103" s="683" t="str">
        <f t="shared" si="24"/>
        <v/>
      </c>
      <c r="Y103" s="690"/>
      <c r="Z103" s="695"/>
      <c r="AC103" s="5"/>
      <c r="AD103" s="5"/>
      <c r="AE103" s="5"/>
    </row>
    <row r="104" spans="2:31" x14ac:dyDescent="0.25">
      <c r="B104" s="341"/>
      <c r="C104" s="321"/>
      <c r="D104" s="342"/>
      <c r="E104" s="326"/>
      <c r="F104" s="326"/>
      <c r="G104" s="326"/>
      <c r="H104" s="277">
        <f t="shared" si="13"/>
        <v>0</v>
      </c>
      <c r="I104" s="326"/>
      <c r="J104" s="326"/>
      <c r="K104" s="326"/>
      <c r="L104" s="326"/>
      <c r="M104" s="342"/>
      <c r="N104" s="914" t="str">
        <f>IF(I104="","NA",IF(M104="",'Building Data schedule'!$C$14,M104))</f>
        <v>NA</v>
      </c>
      <c r="O104" s="684">
        <f t="shared" si="18"/>
        <v>0</v>
      </c>
      <c r="P104" s="892" t="str">
        <f t="shared" si="19"/>
        <v/>
      </c>
      <c r="Q104" s="910">
        <f t="shared" si="20"/>
        <v>0</v>
      </c>
      <c r="R104" s="683">
        <f t="shared" si="0"/>
        <v>0</v>
      </c>
      <c r="S104" s="897" t="str">
        <f t="shared" si="21"/>
        <v/>
      </c>
      <c r="T104" s="889">
        <f t="shared" si="10"/>
        <v>0</v>
      </c>
      <c r="U104" s="893" t="str">
        <f t="shared" si="22"/>
        <v/>
      </c>
      <c r="V104" s="683">
        <f t="shared" si="23"/>
        <v>0.17</v>
      </c>
      <c r="W104" s="683">
        <f t="shared" si="1"/>
        <v>0</v>
      </c>
      <c r="X104" s="683" t="str">
        <f t="shared" si="24"/>
        <v/>
      </c>
      <c r="Y104" s="690"/>
      <c r="Z104" s="695"/>
      <c r="AC104" s="5"/>
      <c r="AD104" s="5"/>
      <c r="AE104" s="5"/>
    </row>
    <row r="105" spans="2:31" x14ac:dyDescent="0.25">
      <c r="B105" s="341"/>
      <c r="C105" s="321"/>
      <c r="D105" s="342"/>
      <c r="E105" s="326"/>
      <c r="F105" s="326"/>
      <c r="G105" s="326"/>
      <c r="H105" s="277">
        <f t="shared" si="13"/>
        <v>0</v>
      </c>
      <c r="I105" s="326"/>
      <c r="J105" s="326"/>
      <c r="K105" s="326"/>
      <c r="L105" s="326"/>
      <c r="M105" s="342"/>
      <c r="N105" s="914" t="str">
        <f>IF(I105="","NA",IF(M105="",'Building Data schedule'!$C$14,M105))</f>
        <v>NA</v>
      </c>
      <c r="O105" s="684">
        <f t="shared" si="18"/>
        <v>0</v>
      </c>
      <c r="P105" s="892" t="str">
        <f t="shared" si="19"/>
        <v/>
      </c>
      <c r="Q105" s="910">
        <f t="shared" si="20"/>
        <v>0</v>
      </c>
      <c r="R105" s="683">
        <f t="shared" si="0"/>
        <v>0</v>
      </c>
      <c r="S105" s="897" t="str">
        <f t="shared" si="21"/>
        <v/>
      </c>
      <c r="T105" s="889">
        <f t="shared" si="10"/>
        <v>0</v>
      </c>
      <c r="U105" s="893" t="str">
        <f t="shared" si="22"/>
        <v/>
      </c>
      <c r="V105" s="683">
        <f t="shared" si="23"/>
        <v>0.17</v>
      </c>
      <c r="W105" s="683">
        <f t="shared" si="1"/>
        <v>0</v>
      </c>
      <c r="X105" s="683" t="str">
        <f t="shared" si="24"/>
        <v/>
      </c>
      <c r="Y105" s="690"/>
      <c r="Z105" s="695"/>
      <c r="AC105" s="8"/>
      <c r="AD105" s="5"/>
      <c r="AE105" s="5"/>
    </row>
    <row r="106" spans="2:31" ht="15.75" thickBot="1" x14ac:dyDescent="0.3">
      <c r="B106" s="343"/>
      <c r="C106" s="344"/>
      <c r="D106" s="345"/>
      <c r="E106" s="346"/>
      <c r="F106" s="346"/>
      <c r="G106" s="346"/>
      <c r="H106" s="278">
        <f>E106*F106*G106</f>
        <v>0</v>
      </c>
      <c r="I106" s="346"/>
      <c r="J106" s="346"/>
      <c r="K106" s="346"/>
      <c r="L106" s="346"/>
      <c r="M106" s="345"/>
      <c r="N106" s="914" t="str">
        <f>IF(I106="","NA",IF(M106="",'Building Data schedule'!$C$14,M106))</f>
        <v>NA</v>
      </c>
      <c r="O106" s="685">
        <f t="shared" si="18"/>
        <v>0</v>
      </c>
      <c r="P106" s="898" t="str">
        <f t="shared" si="19"/>
        <v/>
      </c>
      <c r="Q106" s="916">
        <f t="shared" si="20"/>
        <v>0</v>
      </c>
      <c r="R106" s="686">
        <f t="shared" si="0"/>
        <v>0</v>
      </c>
      <c r="S106" s="899" t="str">
        <f t="shared" si="21"/>
        <v/>
      </c>
      <c r="T106" s="890">
        <f t="shared" si="10"/>
        <v>0</v>
      </c>
      <c r="U106" s="901" t="str">
        <f t="shared" si="22"/>
        <v/>
      </c>
      <c r="V106" s="686">
        <f t="shared" si="23"/>
        <v>0.17</v>
      </c>
      <c r="W106" s="686">
        <f t="shared" si="1"/>
        <v>0</v>
      </c>
      <c r="X106" s="686" t="str">
        <f t="shared" si="24"/>
        <v/>
      </c>
      <c r="Y106" s="691"/>
      <c r="Z106" s="652"/>
      <c r="AC106" s="8"/>
      <c r="AD106" s="5"/>
      <c r="AE106" s="5"/>
    </row>
    <row r="107" spans="2:31" ht="11.25" customHeight="1" thickBot="1" x14ac:dyDescent="0.3">
      <c r="B107" s="1100"/>
      <c r="C107" s="1101"/>
      <c r="D107" s="232"/>
      <c r="E107" s="232"/>
      <c r="F107" s="232"/>
      <c r="G107" s="232"/>
      <c r="H107" s="232"/>
      <c r="I107" s="232"/>
      <c r="J107" s="232"/>
      <c r="K107" s="232"/>
      <c r="L107" s="232"/>
      <c r="M107" s="232"/>
      <c r="N107" s="232"/>
      <c r="O107" s="894"/>
      <c r="P107" s="886"/>
      <c r="Q107" s="651"/>
      <c r="R107" s="682"/>
      <c r="S107" s="888"/>
      <c r="T107" s="711"/>
      <c r="U107" s="891"/>
      <c r="V107" s="692"/>
      <c r="W107" s="693"/>
      <c r="X107" s="693"/>
      <c r="Y107" s="693"/>
      <c r="Z107" s="682"/>
      <c r="AC107" s="8"/>
      <c r="AD107" s="5"/>
      <c r="AE107" s="5"/>
    </row>
    <row r="108" spans="2:31" ht="15.75" thickBot="1" x14ac:dyDescent="0.3">
      <c r="B108" s="233"/>
      <c r="C108" s="146"/>
      <c r="D108" s="234"/>
      <c r="E108" s="234"/>
      <c r="F108" s="234"/>
      <c r="G108" s="234"/>
      <c r="H108" s="279">
        <f>SUM(H7:H107)</f>
        <v>0</v>
      </c>
      <c r="I108" s="279">
        <f>SUM(I7:I107)</f>
        <v>0</v>
      </c>
      <c r="J108" s="279">
        <f>SUM(J7:J107)</f>
        <v>0</v>
      </c>
      <c r="K108" s="279">
        <f>SUM(K7:K107)</f>
        <v>0</v>
      </c>
      <c r="L108" s="279">
        <f>SUM(L7:L107)</f>
        <v>0</v>
      </c>
      <c r="M108" s="885"/>
      <c r="N108" s="885"/>
      <c r="O108" s="280">
        <f>IF(I108=0,0,K108/I108)</f>
        <v>0</v>
      </c>
      <c r="P108" s="887">
        <f>SUM(P7:P106)</f>
        <v>0</v>
      </c>
      <c r="Q108" s="279">
        <f>IF(H108=0,0,R108/H108)</f>
        <v>0</v>
      </c>
      <c r="R108" s="281">
        <f>SUM(R7:R107)</f>
        <v>0</v>
      </c>
      <c r="S108" s="902">
        <f>SUM(S7:S106)</f>
        <v>0</v>
      </c>
      <c r="T108" s="280">
        <f>IF(I108=0,0,L108/I108)</f>
        <v>0</v>
      </c>
      <c r="U108" s="887">
        <f>SUM(U7:U106)</f>
        <v>0</v>
      </c>
      <c r="V108" s="279">
        <f>IF(H108=0,0,W108/H108)</f>
        <v>0</v>
      </c>
      <c r="W108" s="281">
        <f>SUM(W7:W107)</f>
        <v>0</v>
      </c>
      <c r="X108" s="903">
        <f>SUM(X7:X106)</f>
        <v>0</v>
      </c>
      <c r="Y108" s="281"/>
      <c r="Z108" s="281"/>
      <c r="AC108" s="8"/>
      <c r="AD108" s="5"/>
      <c r="AE108" s="5"/>
    </row>
    <row r="109" spans="2:31" x14ac:dyDescent="0.25">
      <c r="C109" s="5"/>
      <c r="D109" s="230"/>
      <c r="E109" s="230"/>
      <c r="F109" s="230"/>
      <c r="G109" s="230"/>
      <c r="H109" s="231" t="s">
        <v>219</v>
      </c>
      <c r="I109" s="231" t="s">
        <v>219</v>
      </c>
      <c r="J109" s="231" t="s">
        <v>219</v>
      </c>
      <c r="K109" s="231" t="s">
        <v>219</v>
      </c>
      <c r="L109" s="231" t="s">
        <v>219</v>
      </c>
      <c r="M109" s="231"/>
      <c r="N109" s="231"/>
      <c r="O109" s="235" t="s">
        <v>394</v>
      </c>
      <c r="P109" s="235"/>
      <c r="Q109" s="236" t="s">
        <v>394</v>
      </c>
      <c r="R109" s="237" t="s">
        <v>219</v>
      </c>
      <c r="S109" s="237"/>
      <c r="T109" s="235" t="s">
        <v>394</v>
      </c>
      <c r="U109" s="235"/>
      <c r="V109" s="236" t="s">
        <v>394</v>
      </c>
      <c r="W109" s="237" t="s">
        <v>219</v>
      </c>
      <c r="X109" s="237"/>
      <c r="Y109" s="237"/>
      <c r="Z109" s="237"/>
    </row>
    <row r="110" spans="2:31" x14ac:dyDescent="0.25">
      <c r="B110" s="5"/>
      <c r="C110" s="5"/>
      <c r="D110" s="5"/>
      <c r="E110" s="5"/>
      <c r="F110" s="5"/>
      <c r="G110" s="5"/>
      <c r="H110" s="5"/>
      <c r="I110" s="5"/>
      <c r="J110" s="5"/>
      <c r="K110" s="5"/>
      <c r="L110" s="5"/>
      <c r="M110" s="5"/>
      <c r="N110" s="5"/>
      <c r="O110" s="5"/>
      <c r="P110" s="5"/>
      <c r="Q110" s="5"/>
      <c r="R110" s="230"/>
      <c r="S110" s="230"/>
      <c r="T110" s="5"/>
      <c r="U110" s="5"/>
      <c r="V110" s="5"/>
      <c r="W110" s="230"/>
      <c r="X110" s="230"/>
      <c r="AA110" s="5"/>
    </row>
    <row r="111" spans="2:31" ht="15.75" thickBot="1" x14ac:dyDescent="0.3">
      <c r="H111" t="s">
        <v>738</v>
      </c>
      <c r="I111" s="704" t="s">
        <v>736</v>
      </c>
    </row>
    <row r="112" spans="2:31" ht="17.25" x14ac:dyDescent="0.25">
      <c r="B112" s="1102" t="s">
        <v>395</v>
      </c>
      <c r="C112" s="1103"/>
      <c r="D112" s="282">
        <f>H108</f>
        <v>0</v>
      </c>
      <c r="I112" s="704" t="s">
        <v>743</v>
      </c>
    </row>
    <row r="113" spans="1:26" x14ac:dyDescent="0.25">
      <c r="B113" s="1094" t="str">
        <f>IF($E$3=$AD$5,"Total Reference Nameplate Power(kW)","Total Reference Input Power(kW)")</f>
        <v>Total Reference Input Power(kW)</v>
      </c>
      <c r="C113" s="1095"/>
      <c r="D113" s="283">
        <f>IF(E3=AD5,R108,W108)/1000</f>
        <v>0</v>
      </c>
    </row>
    <row r="114" spans="1:26" x14ac:dyDescent="0.25">
      <c r="B114" s="1092" t="str">
        <f>IF($E$3=$AD$5,"Total Design Nameplate Power(kW)","Total Design Input Power(kW)")</f>
        <v>Total Design Input Power(kW)</v>
      </c>
      <c r="C114" s="1093"/>
      <c r="D114" s="284">
        <f>IF(E3=AD5,K108,L108)/1000</f>
        <v>0</v>
      </c>
    </row>
    <row r="115" spans="1:26" x14ac:dyDescent="0.25">
      <c r="B115" s="1098" t="s">
        <v>397</v>
      </c>
      <c r="C115" s="1099"/>
      <c r="D115" s="904">
        <f>D113-D114</f>
        <v>0</v>
      </c>
    </row>
    <row r="116" spans="1:26" s="628" customFormat="1" x14ac:dyDescent="0.25">
      <c r="B116" s="1094" t="str">
        <f>IF($E$3=$AD$5,"Total Reference Nameplate Power Consumption (kWh/yr)","Total Reference Input Power Consumption (kWh/yr)")</f>
        <v>Total Reference Input Power Consumption (kWh/yr)</v>
      </c>
      <c r="C116" s="1095"/>
      <c r="D116" s="905">
        <f>IF(E3=AD5,S108,X108)</f>
        <v>0</v>
      </c>
    </row>
    <row r="117" spans="1:26" s="628" customFormat="1" x14ac:dyDescent="0.25">
      <c r="B117" s="1092" t="str">
        <f>IF($E$3=$AD$5,"Total Design Nameplate Power Consumption (kWh/yr)","Total Design Input Power Consumption (kWh/yr)")</f>
        <v>Total Design Input Power Consumption (kWh/yr)</v>
      </c>
      <c r="C117" s="1093"/>
      <c r="D117" s="905">
        <f>IF(E3=AD5,P108,U108)</f>
        <v>0</v>
      </c>
    </row>
    <row r="119" spans="1:26" s="20" customFormat="1" ht="15.75" x14ac:dyDescent="0.25">
      <c r="A119" s="20" t="s">
        <v>235</v>
      </c>
    </row>
    <row r="120" spans="1:26" ht="15.75" thickBot="1" x14ac:dyDescent="0.3">
      <c r="A120" s="2"/>
      <c r="B120" s="3"/>
      <c r="G120" s="30"/>
      <c r="I120"/>
      <c r="Y120"/>
      <c r="Z120"/>
    </row>
    <row r="121" spans="1:26" x14ac:dyDescent="0.25">
      <c r="A121" s="2"/>
      <c r="B121" s="1108" t="s">
        <v>5</v>
      </c>
      <c r="C121" s="1109" t="s">
        <v>83</v>
      </c>
      <c r="D121" s="1109" t="s">
        <v>869</v>
      </c>
      <c r="E121" s="1109" t="s">
        <v>865</v>
      </c>
      <c r="F121" s="1050" t="s">
        <v>8</v>
      </c>
      <c r="G121" s="1050"/>
      <c r="H121" s="1050"/>
      <c r="I121" s="1050" t="s">
        <v>41</v>
      </c>
      <c r="J121" s="1050"/>
      <c r="K121" s="1051"/>
      <c r="Y121"/>
      <c r="Z121"/>
    </row>
    <row r="122" spans="1:26" ht="75" x14ac:dyDescent="0.25">
      <c r="A122" s="2"/>
      <c r="B122" s="1096"/>
      <c r="C122" s="1110"/>
      <c r="D122" s="1110"/>
      <c r="E122" s="1110"/>
      <c r="F122" s="861" t="s">
        <v>58</v>
      </c>
      <c r="G122" s="861" t="s">
        <v>84</v>
      </c>
      <c r="H122" s="861" t="s">
        <v>863</v>
      </c>
      <c r="I122" s="861" t="s">
        <v>85</v>
      </c>
      <c r="J122" s="861" t="s">
        <v>59</v>
      </c>
      <c r="K122" s="826" t="s">
        <v>864</v>
      </c>
      <c r="Y122"/>
      <c r="Z122"/>
    </row>
    <row r="123" spans="1:26" x14ac:dyDescent="0.25">
      <c r="A123" s="2"/>
      <c r="B123" s="145" t="s">
        <v>242</v>
      </c>
      <c r="C123" s="373" t="str">
        <f>IF('Building Data schedule'!C30="","",'Building Data schedule'!C30)</f>
        <v/>
      </c>
      <c r="D123" s="322">
        <v>77</v>
      </c>
      <c r="E123" s="6" t="str">
        <f>IF(C123="","NA",IF(D123="",'Building Data schedule'!$C$14,D123))</f>
        <v>NA</v>
      </c>
      <c r="F123" s="322">
        <v>4281.4799999999996</v>
      </c>
      <c r="G123" s="371" t="str">
        <f>IF(C8="","",F123/C123)</f>
        <v/>
      </c>
      <c r="H123" s="6" t="str">
        <f>IFERROR(F123*52*E123,"")</f>
        <v/>
      </c>
      <c r="I123" s="6">
        <v>3</v>
      </c>
      <c r="J123" s="879" t="str">
        <f>IFERROR(C123*I123,"")</f>
        <v/>
      </c>
      <c r="K123" s="16" t="str">
        <f>IFERROR(J123*52*E123,"")</f>
        <v/>
      </c>
      <c r="Y123"/>
      <c r="Z123"/>
    </row>
    <row r="124" spans="1:26" ht="15.75" thickBot="1" x14ac:dyDescent="0.3">
      <c r="A124" s="2"/>
      <c r="B124" s="880" t="s">
        <v>243</v>
      </c>
      <c r="C124" s="881">
        <v>53.06</v>
      </c>
      <c r="D124" s="881">
        <v>77</v>
      </c>
      <c r="E124" s="6">
        <f>IF(C124="","NA",IF(D124="",'Building Data schedule'!$C$14,D124))</f>
        <v>77</v>
      </c>
      <c r="F124" s="881">
        <v>52</v>
      </c>
      <c r="G124" s="371" t="str">
        <f>IF(C9="","",F124/C124)</f>
        <v/>
      </c>
      <c r="H124" s="882"/>
      <c r="I124" s="882">
        <v>5</v>
      </c>
      <c r="J124" s="879">
        <f>IFERROR(C124*I124,"")</f>
        <v>265.3</v>
      </c>
      <c r="K124" s="16">
        <f>IFERROR(J124*52*E124,"")</f>
        <v>1062261.2</v>
      </c>
      <c r="Y124"/>
      <c r="Z124"/>
    </row>
    <row r="125" spans="1:26" ht="15.75" thickBot="1" x14ac:dyDescent="0.3">
      <c r="A125" s="2"/>
      <c r="B125" s="147" t="s">
        <v>19</v>
      </c>
      <c r="C125" s="146">
        <f>SUM(C123:C124)</f>
        <v>53.06</v>
      </c>
      <c r="D125" s="146"/>
      <c r="E125" s="146"/>
      <c r="F125" s="545">
        <f>SUM(F123:F124)</f>
        <v>4333.4799999999996</v>
      </c>
      <c r="G125" s="148"/>
      <c r="H125" s="146">
        <f>SUM(H123:H124)</f>
        <v>0</v>
      </c>
      <c r="I125" s="148"/>
      <c r="J125" s="883">
        <f>SUM(J123:J124)</f>
        <v>265.3</v>
      </c>
      <c r="K125" s="884">
        <f>SUM(K123:K124)</f>
        <v>1062261.2</v>
      </c>
      <c r="Y125"/>
      <c r="Z125"/>
    </row>
    <row r="126" spans="1:26" ht="15.75" thickBot="1" x14ac:dyDescent="0.3">
      <c r="A126" s="2"/>
      <c r="B126" s="149"/>
      <c r="C126" s="5"/>
      <c r="D126" s="5"/>
      <c r="E126" s="61"/>
      <c r="F126" s="61"/>
      <c r="G126" s="150"/>
      <c r="I126"/>
      <c r="Y126"/>
      <c r="Z126"/>
    </row>
    <row r="127" spans="1:26" x14ac:dyDescent="0.25">
      <c r="A127" s="2"/>
      <c r="B127" s="37" t="s">
        <v>421</v>
      </c>
      <c r="C127" s="62"/>
      <c r="D127" s="543">
        <f>IF(J125=0,0,(J125-F125)/J125)</f>
        <v>-15.334263098379191</v>
      </c>
      <c r="G127" s="30"/>
      <c r="I127"/>
      <c r="Y127"/>
      <c r="Z127"/>
    </row>
    <row r="128" spans="1:26" x14ac:dyDescent="0.25">
      <c r="A128" s="2"/>
      <c r="G128" s="30"/>
      <c r="I128"/>
      <c r="Y128"/>
      <c r="Z128"/>
    </row>
    <row r="129" spans="1:26" s="20" customFormat="1" ht="15.75" x14ac:dyDescent="0.25">
      <c r="A129" s="20" t="s">
        <v>866</v>
      </c>
      <c r="G129" s="85"/>
    </row>
    <row r="130" spans="1:26" x14ac:dyDescent="0.25">
      <c r="G130" s="83"/>
      <c r="I130"/>
      <c r="Y130"/>
      <c r="Z130"/>
    </row>
    <row r="131" spans="1:26" ht="15.75" thickBot="1" x14ac:dyDescent="0.3">
      <c r="G131" s="83"/>
      <c r="I131"/>
      <c r="Y131"/>
      <c r="Z131"/>
    </row>
    <row r="132" spans="1:26" ht="15.75" thickBot="1" x14ac:dyDescent="0.3">
      <c r="B132" s="1106" t="s">
        <v>256</v>
      </c>
      <c r="C132" s="132" t="s">
        <v>734</v>
      </c>
      <c r="D132" s="133" t="s">
        <v>163</v>
      </c>
      <c r="E132" s="1"/>
      <c r="G132" s="83"/>
      <c r="I132"/>
      <c r="Y132"/>
      <c r="Z132"/>
    </row>
    <row r="133" spans="1:26" ht="15.75" thickBot="1" x14ac:dyDescent="0.3">
      <c r="B133" s="1107"/>
      <c r="C133" s="134" t="s">
        <v>2</v>
      </c>
      <c r="D133" s="135" t="s">
        <v>2</v>
      </c>
      <c r="E133" s="136" t="s">
        <v>44</v>
      </c>
      <c r="G133" s="83"/>
      <c r="I133"/>
      <c r="Y133"/>
      <c r="Z133"/>
    </row>
    <row r="134" spans="1:26" x14ac:dyDescent="0.25">
      <c r="B134" s="72" t="s">
        <v>97</v>
      </c>
      <c r="C134" s="257">
        <f>K125/1000</f>
        <v>1062.2611999999999</v>
      </c>
      <c r="D134" s="259">
        <f>H125/1000</f>
        <v>0</v>
      </c>
      <c r="E134" s="453">
        <f>IF(C134=0,"-",(C134-D134)/C134)</f>
        <v>1</v>
      </c>
      <c r="G134" s="83"/>
      <c r="I134"/>
      <c r="Y134"/>
      <c r="Z134"/>
    </row>
    <row r="135" spans="1:26" x14ac:dyDescent="0.25">
      <c r="B135" s="73" t="s">
        <v>4</v>
      </c>
      <c r="C135" s="258">
        <f>D116</f>
        <v>0</v>
      </c>
      <c r="D135" s="260">
        <f>D117</f>
        <v>0</v>
      </c>
      <c r="E135" s="453" t="str">
        <f>IF(C135=0,"-",(C135-D135)/C135)</f>
        <v>-</v>
      </c>
      <c r="G135" s="83"/>
      <c r="I135"/>
      <c r="Y135"/>
      <c r="Z135"/>
    </row>
    <row r="136" spans="1:26" x14ac:dyDescent="0.25">
      <c r="B136" s="73" t="s">
        <v>164</v>
      </c>
      <c r="C136" s="477">
        <f>0</f>
        <v>0</v>
      </c>
      <c r="D136" s="260">
        <f>'LOCKED SHEET'!D34</f>
        <v>0</v>
      </c>
      <c r="E136" s="453" t="str">
        <f>IF(C136=0,"-",(C136-D136)/C136)</f>
        <v>-</v>
      </c>
      <c r="G136" s="83"/>
      <c r="I136"/>
      <c r="Y136"/>
      <c r="Z136"/>
    </row>
    <row r="137" spans="1:26" ht="15.75" thickBot="1" x14ac:dyDescent="0.3">
      <c r="B137" s="50" t="s">
        <v>299</v>
      </c>
      <c r="C137" s="477">
        <f>D137</f>
        <v>0</v>
      </c>
      <c r="D137" s="579"/>
      <c r="E137" s="453" t="str">
        <f>IF(C137=0,"-",(C137-D137)/C137)</f>
        <v>-</v>
      </c>
      <c r="F137" s="765" t="s">
        <v>776</v>
      </c>
      <c r="G137" s="83"/>
      <c r="I137"/>
      <c r="Y137"/>
      <c r="Z137"/>
    </row>
    <row r="138" spans="1:26" ht="15.75" thickBot="1" x14ac:dyDescent="0.3">
      <c r="B138" s="51" t="s">
        <v>19</v>
      </c>
      <c r="C138" s="580">
        <f>SUM(C134:C137)</f>
        <v>1062.2611999999999</v>
      </c>
      <c r="D138" s="581">
        <f>SUM(D134:D137)</f>
        <v>0</v>
      </c>
      <c r="E138" s="33"/>
      <c r="G138" s="83"/>
      <c r="I138"/>
      <c r="Y138"/>
      <c r="Z138"/>
    </row>
    <row r="139" spans="1:26" ht="15.75" thickBot="1" x14ac:dyDescent="0.3">
      <c r="G139" s="83"/>
      <c r="I139"/>
      <c r="Y139"/>
      <c r="Z139"/>
    </row>
    <row r="140" spans="1:26" ht="15.75" thickBot="1" x14ac:dyDescent="0.3">
      <c r="B140" s="1104" t="s">
        <v>165</v>
      </c>
      <c r="C140" s="1105"/>
      <c r="D140" s="465">
        <f>C138-D138</f>
        <v>1062.2611999999999</v>
      </c>
      <c r="G140" s="83"/>
      <c r="I140"/>
      <c r="Y140"/>
      <c r="Z140"/>
    </row>
    <row r="141" spans="1:26" ht="15.75" thickBot="1" x14ac:dyDescent="0.3">
      <c r="B141" s="79" t="s">
        <v>166</v>
      </c>
      <c r="C141" s="78"/>
      <c r="D141" s="466">
        <f>IFERROR(IF((D140=0),0,(D140/C138)),"")</f>
        <v>1</v>
      </c>
      <c r="G141" s="83"/>
      <c r="I141"/>
      <c r="Y141"/>
      <c r="Z141"/>
    </row>
    <row r="142" spans="1:26" ht="15.75" thickBot="1" x14ac:dyDescent="0.3">
      <c r="B142" s="114" t="s">
        <v>841</v>
      </c>
      <c r="C142" s="115"/>
      <c r="D142" s="464">
        <f>IF('Building Data schedule'!C17=0,2,IF((D141&gt;40%),2,(D141/20%)))</f>
        <v>2</v>
      </c>
      <c r="E142" s="760" t="s">
        <v>766</v>
      </c>
      <c r="F142" s="288" t="str">
        <f>IF('Building Data schedule'!C17=0,"Full points if project has no carpark. Check carpark area is not left out in [Building Data Schedule] tab","")</f>
        <v>Full points if project has no carpark. Check carpark area is not left out in [Building Data Schedule] tab</v>
      </c>
      <c r="G142" s="83"/>
      <c r="I142"/>
      <c r="Y142"/>
      <c r="Z142"/>
    </row>
    <row r="143" spans="1:26" x14ac:dyDescent="0.25">
      <c r="G143" s="83"/>
      <c r="I143"/>
      <c r="Y143"/>
      <c r="Z143"/>
    </row>
  </sheetData>
  <sheetProtection algorithmName="SHA-512" hashValue="HAfXifZ+v4XycBiaV8iMR/iy3ZObIcbUGz406UvV71+3MgmqJr5Nhn3kEX3RM44C4N7ScZP2DFrRJpmeoH+kJA==" saltValue="/pTR8gDLN0NriT/Vf8wDmA==" spinCount="100000" sheet="1" objects="1" scenarios="1" selectLockedCells="1" sort="0" autoFilter="0"/>
  <mergeCells count="24">
    <mergeCell ref="I121:K121"/>
    <mergeCell ref="B140:C140"/>
    <mergeCell ref="B132:B133"/>
    <mergeCell ref="B121:B122"/>
    <mergeCell ref="C121:C122"/>
    <mergeCell ref="D121:D122"/>
    <mergeCell ref="E121:E122"/>
    <mergeCell ref="F121:H121"/>
    <mergeCell ref="O5:S5"/>
    <mergeCell ref="B114:C114"/>
    <mergeCell ref="B116:C116"/>
    <mergeCell ref="B117:C117"/>
    <mergeCell ref="AC16:AE17"/>
    <mergeCell ref="AC18:AE19"/>
    <mergeCell ref="T5:Y5"/>
    <mergeCell ref="AE6:AF6"/>
    <mergeCell ref="AC11:AE12"/>
    <mergeCell ref="AC13:AE13"/>
    <mergeCell ref="AC14:AE14"/>
    <mergeCell ref="AC15:AE15"/>
    <mergeCell ref="B115:C115"/>
    <mergeCell ref="B107:C107"/>
    <mergeCell ref="B112:C112"/>
    <mergeCell ref="B113:C113"/>
  </mergeCells>
  <conditionalFormatting sqref="E134:E137">
    <cfRule type="colorScale" priority="1">
      <colorScale>
        <cfvo type="min"/>
        <cfvo type="percentile" val="50"/>
        <cfvo type="max"/>
        <color rgb="FFF8696B"/>
        <color rgb="FFFFEB84"/>
        <color rgb="FF63BE7B"/>
      </colorScale>
    </cfRule>
  </conditionalFormatting>
  <dataValidations count="3">
    <dataValidation type="list" allowBlank="1" showInputMessage="1" showErrorMessage="1" sqref="E3">
      <formula1>$AD$5:$AE$5</formula1>
    </dataValidation>
    <dataValidation type="list" allowBlank="1" showInputMessage="1" showErrorMessage="1" sqref="R110:S110 W110:X110">
      <formula1>$AE$7:$AE$8</formula1>
    </dataValidation>
    <dataValidation type="list" allowBlank="1" showInputMessage="1" showErrorMessage="1" sqref="E4">
      <formula1>"Use of CO Sensor, No provision of CO sensor"</formula1>
    </dataValidation>
  </dataValidations>
  <pageMargins left="0.70866141732283472" right="0.70866141732283472" top="0.74803149606299213" bottom="0.74803149606299213" header="0.31496062992125984" footer="0.31496062992125984"/>
  <pageSetup paperSize="8" scale="71" orientation="landscape" r:id="rId1"/>
  <rowBreaks count="1" manualBreakCount="1">
    <brk id="143" max="17" man="1"/>
  </rowBreaks>
  <colBreaks count="1" manualBreakCount="1">
    <brk id="2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000"/>
  </sheetPr>
  <dimension ref="A1:R88"/>
  <sheetViews>
    <sheetView zoomScale="85" zoomScaleNormal="85" workbookViewId="0">
      <selection activeCell="F23" sqref="F23"/>
    </sheetView>
  </sheetViews>
  <sheetFormatPr defaultRowHeight="15" x14ac:dyDescent="0.25"/>
  <cols>
    <col min="2" max="2" width="56.140625" customWidth="1"/>
    <col min="3" max="3" width="18.7109375" customWidth="1"/>
    <col min="4" max="4" width="15.7109375" customWidth="1"/>
    <col min="5" max="5" width="18.7109375" customWidth="1"/>
    <col min="6" max="6" width="16.85546875" customWidth="1"/>
    <col min="7" max="7" width="17.28515625" customWidth="1"/>
    <col min="8" max="8" width="38.42578125" customWidth="1"/>
    <col min="9" max="9" width="13.85546875" customWidth="1"/>
    <col min="10" max="10" width="26.140625" customWidth="1"/>
    <col min="11" max="11" width="18.7109375" customWidth="1"/>
  </cols>
  <sheetData>
    <row r="1" spans="1:15" x14ac:dyDescent="0.25">
      <c r="A1" t="s">
        <v>843</v>
      </c>
    </row>
    <row r="2" spans="1:15" x14ac:dyDescent="0.25">
      <c r="A2" s="628"/>
      <c r="B2" s="628"/>
      <c r="C2" s="628"/>
      <c r="D2" s="628"/>
      <c r="E2" s="628"/>
      <c r="F2" s="628"/>
      <c r="G2" s="83"/>
      <c r="H2" s="628"/>
      <c r="I2" s="628"/>
      <c r="J2" s="628"/>
      <c r="K2" s="628"/>
      <c r="L2" s="628"/>
      <c r="M2" s="628"/>
      <c r="N2" s="628"/>
      <c r="O2" s="628"/>
    </row>
    <row r="3" spans="1:15" s="20" customFormat="1" ht="15.75" x14ac:dyDescent="0.25">
      <c r="A3" s="20" t="s">
        <v>842</v>
      </c>
      <c r="G3" s="85"/>
    </row>
    <row r="4" spans="1:15" s="628" customFormat="1" x14ac:dyDescent="0.25">
      <c r="G4" s="83"/>
    </row>
    <row r="5" spans="1:15" s="628" customFormat="1" ht="15.75" thickBot="1" x14ac:dyDescent="0.3">
      <c r="G5" s="83"/>
    </row>
    <row r="6" spans="1:15" s="628" customFormat="1" ht="90" customHeight="1" thickBot="1" x14ac:dyDescent="0.3">
      <c r="B6" s="490" t="s">
        <v>118</v>
      </c>
      <c r="C6" s="491" t="s">
        <v>577</v>
      </c>
      <c r="D6" s="491" t="s">
        <v>579</v>
      </c>
      <c r="E6" s="491" t="s">
        <v>433</v>
      </c>
      <c r="F6" s="491" t="s">
        <v>578</v>
      </c>
      <c r="G6" s="491" t="s">
        <v>434</v>
      </c>
      <c r="H6" s="492" t="s">
        <v>504</v>
      </c>
      <c r="J6" s="628" t="s">
        <v>510</v>
      </c>
    </row>
    <row r="7" spans="1:15" s="628" customFormat="1" ht="107.25" customHeight="1" thickBot="1" x14ac:dyDescent="0.3">
      <c r="B7" s="485" t="s">
        <v>106</v>
      </c>
      <c r="C7" s="486"/>
      <c r="D7" s="524">
        <f>IF(F7&lt;16,16,F7)</f>
        <v>16</v>
      </c>
      <c r="E7" s="487">
        <f t="shared" ref="E7:E31" si="0">C7*D7</f>
        <v>0</v>
      </c>
      <c r="F7" s="488"/>
      <c r="G7" s="489">
        <f t="shared" ref="G7:G31" si="1">C7*F7</f>
        <v>0</v>
      </c>
      <c r="H7" s="647" t="s">
        <v>762</v>
      </c>
      <c r="J7" s="491" t="s">
        <v>506</v>
      </c>
      <c r="K7" s="491" t="s">
        <v>507</v>
      </c>
    </row>
    <row r="8" spans="1:15" s="628" customFormat="1" x14ac:dyDescent="0.25">
      <c r="B8" s="56" t="s">
        <v>107</v>
      </c>
      <c r="C8" s="311"/>
      <c r="D8" s="582">
        <f t="shared" ref="D8:D26" si="2">IF(C8=0,0,G8/C8)</f>
        <v>0</v>
      </c>
      <c r="E8" s="467">
        <f t="shared" si="0"/>
        <v>0</v>
      </c>
      <c r="F8" s="312"/>
      <c r="G8" s="468">
        <f t="shared" si="1"/>
        <v>0</v>
      </c>
      <c r="H8" s="588" t="s">
        <v>119</v>
      </c>
      <c r="J8" s="13" t="s">
        <v>508</v>
      </c>
      <c r="K8" s="14">
        <v>22</v>
      </c>
    </row>
    <row r="9" spans="1:15" s="628" customFormat="1" x14ac:dyDescent="0.25">
      <c r="B9" s="56" t="s">
        <v>502</v>
      </c>
      <c r="C9" s="311"/>
      <c r="D9" s="582">
        <f t="shared" si="2"/>
        <v>0</v>
      </c>
      <c r="E9" s="467">
        <f t="shared" si="0"/>
        <v>0</v>
      </c>
      <c r="F9" s="312"/>
      <c r="G9" s="468">
        <f t="shared" si="1"/>
        <v>0</v>
      </c>
      <c r="H9" s="588" t="s">
        <v>119</v>
      </c>
      <c r="J9" s="15" t="s">
        <v>258</v>
      </c>
      <c r="K9" s="16">
        <v>11</v>
      </c>
    </row>
    <row r="10" spans="1:15" s="628" customFormat="1" ht="15.75" thickBot="1" x14ac:dyDescent="0.3">
      <c r="B10" s="56" t="s">
        <v>110</v>
      </c>
      <c r="C10" s="311"/>
      <c r="D10" s="582">
        <f t="shared" si="2"/>
        <v>0</v>
      </c>
      <c r="E10" s="467">
        <f t="shared" si="0"/>
        <v>0</v>
      </c>
      <c r="F10" s="312"/>
      <c r="G10" s="468">
        <f t="shared" si="1"/>
        <v>0</v>
      </c>
      <c r="H10" s="588" t="s">
        <v>119</v>
      </c>
      <c r="J10" s="17" t="s">
        <v>509</v>
      </c>
      <c r="K10" s="19">
        <v>540</v>
      </c>
    </row>
    <row r="11" spans="1:15" s="628" customFormat="1" x14ac:dyDescent="0.25">
      <c r="B11" s="56" t="s">
        <v>498</v>
      </c>
      <c r="C11" s="311"/>
      <c r="D11" s="582">
        <f t="shared" si="2"/>
        <v>0</v>
      </c>
      <c r="E11" s="467">
        <f t="shared" si="0"/>
        <v>0</v>
      </c>
      <c r="F11" s="312"/>
      <c r="G11" s="468">
        <f t="shared" si="1"/>
        <v>0</v>
      </c>
      <c r="H11" s="588" t="s">
        <v>119</v>
      </c>
    </row>
    <row r="12" spans="1:15" s="628" customFormat="1" x14ac:dyDescent="0.25">
      <c r="B12" s="56" t="s">
        <v>111</v>
      </c>
      <c r="C12" s="311"/>
      <c r="D12" s="582">
        <f t="shared" si="2"/>
        <v>0</v>
      </c>
      <c r="E12" s="467">
        <f t="shared" si="0"/>
        <v>0</v>
      </c>
      <c r="F12" s="312"/>
      <c r="G12" s="468">
        <f t="shared" si="1"/>
        <v>0</v>
      </c>
      <c r="H12" s="588" t="s">
        <v>119</v>
      </c>
    </row>
    <row r="13" spans="1:15" s="628" customFormat="1" x14ac:dyDescent="0.25">
      <c r="B13" s="56" t="s">
        <v>500</v>
      </c>
      <c r="C13" s="311"/>
      <c r="D13" s="582">
        <f t="shared" si="2"/>
        <v>0</v>
      </c>
      <c r="E13" s="467">
        <f t="shared" si="0"/>
        <v>0</v>
      </c>
      <c r="F13" s="312"/>
      <c r="G13" s="468">
        <f t="shared" si="1"/>
        <v>0</v>
      </c>
      <c r="H13" s="588" t="s">
        <v>119</v>
      </c>
    </row>
    <row r="14" spans="1:15" s="628" customFormat="1" x14ac:dyDescent="0.25">
      <c r="B14" s="56" t="s">
        <v>112</v>
      </c>
      <c r="C14" s="311"/>
      <c r="D14" s="582">
        <f t="shared" si="2"/>
        <v>0</v>
      </c>
      <c r="E14" s="467">
        <f t="shared" si="0"/>
        <v>0</v>
      </c>
      <c r="F14" s="312"/>
      <c r="G14" s="468">
        <f t="shared" si="1"/>
        <v>0</v>
      </c>
      <c r="H14" s="588" t="s">
        <v>119</v>
      </c>
    </row>
    <row r="15" spans="1:15" s="628" customFormat="1" x14ac:dyDescent="0.25">
      <c r="B15" s="56" t="s">
        <v>499</v>
      </c>
      <c r="C15" s="311"/>
      <c r="D15" s="582">
        <f t="shared" si="2"/>
        <v>0</v>
      </c>
      <c r="E15" s="467">
        <f t="shared" si="0"/>
        <v>0</v>
      </c>
      <c r="F15" s="312"/>
      <c r="G15" s="468">
        <f t="shared" si="1"/>
        <v>0</v>
      </c>
      <c r="H15" s="588" t="s">
        <v>119</v>
      </c>
    </row>
    <row r="16" spans="1:15" s="628" customFormat="1" x14ac:dyDescent="0.25">
      <c r="B16" s="56" t="s">
        <v>501</v>
      </c>
      <c r="C16" s="311"/>
      <c r="D16" s="582">
        <f t="shared" si="2"/>
        <v>0</v>
      </c>
      <c r="E16" s="467">
        <f t="shared" si="0"/>
        <v>0</v>
      </c>
      <c r="F16" s="312"/>
      <c r="G16" s="468">
        <f t="shared" si="1"/>
        <v>0</v>
      </c>
      <c r="H16" s="588" t="s">
        <v>119</v>
      </c>
    </row>
    <row r="17" spans="2:8" s="628" customFormat="1" x14ac:dyDescent="0.25">
      <c r="B17" s="590" t="s">
        <v>170</v>
      </c>
      <c r="C17" s="311"/>
      <c r="D17" s="582">
        <f t="shared" si="2"/>
        <v>0</v>
      </c>
      <c r="E17" s="467">
        <f t="shared" si="0"/>
        <v>0</v>
      </c>
      <c r="F17" s="312"/>
      <c r="G17" s="468">
        <f t="shared" si="1"/>
        <v>0</v>
      </c>
      <c r="H17" s="588" t="s">
        <v>119</v>
      </c>
    </row>
    <row r="18" spans="2:8" s="628" customFormat="1" x14ac:dyDescent="0.25">
      <c r="B18" s="590"/>
      <c r="C18" s="311"/>
      <c r="D18" s="582">
        <f t="shared" si="2"/>
        <v>0</v>
      </c>
      <c r="E18" s="467">
        <f t="shared" si="0"/>
        <v>0</v>
      </c>
      <c r="F18" s="312"/>
      <c r="G18" s="468">
        <f t="shared" si="1"/>
        <v>0</v>
      </c>
      <c r="H18" s="588" t="s">
        <v>119</v>
      </c>
    </row>
    <row r="19" spans="2:8" s="628" customFormat="1" x14ac:dyDescent="0.25">
      <c r="B19" s="590" t="s">
        <v>172</v>
      </c>
      <c r="C19" s="311"/>
      <c r="D19" s="582">
        <f t="shared" si="2"/>
        <v>0</v>
      </c>
      <c r="E19" s="467">
        <f t="shared" si="0"/>
        <v>0</v>
      </c>
      <c r="F19" s="312"/>
      <c r="G19" s="468">
        <f t="shared" si="1"/>
        <v>0</v>
      </c>
      <c r="H19" s="588" t="s">
        <v>119</v>
      </c>
    </row>
    <row r="20" spans="2:8" s="628" customFormat="1" x14ac:dyDescent="0.25">
      <c r="B20" s="590" t="s">
        <v>180</v>
      </c>
      <c r="C20" s="311"/>
      <c r="D20" s="582">
        <f t="shared" si="2"/>
        <v>0</v>
      </c>
      <c r="E20" s="467">
        <f t="shared" si="0"/>
        <v>0</v>
      </c>
      <c r="F20" s="312"/>
      <c r="G20" s="468">
        <f t="shared" si="1"/>
        <v>0</v>
      </c>
      <c r="H20" s="588" t="s">
        <v>119</v>
      </c>
    </row>
    <row r="21" spans="2:8" s="628" customFormat="1" x14ac:dyDescent="0.25">
      <c r="B21" s="590" t="s">
        <v>900</v>
      </c>
      <c r="C21" s="311"/>
      <c r="D21" s="582">
        <f t="shared" si="2"/>
        <v>0</v>
      </c>
      <c r="E21" s="467">
        <f t="shared" si="0"/>
        <v>0</v>
      </c>
      <c r="F21" s="312"/>
      <c r="G21" s="468">
        <f t="shared" si="1"/>
        <v>0</v>
      </c>
      <c r="H21" s="588" t="s">
        <v>119</v>
      </c>
    </row>
    <row r="22" spans="2:8" s="628" customFormat="1" x14ac:dyDescent="0.25">
      <c r="B22" s="590" t="s">
        <v>902</v>
      </c>
      <c r="C22" s="311"/>
      <c r="D22" s="582">
        <f t="shared" si="2"/>
        <v>0</v>
      </c>
      <c r="E22" s="467">
        <f t="shared" si="0"/>
        <v>0</v>
      </c>
      <c r="F22" s="312"/>
      <c r="G22" s="468">
        <f t="shared" si="1"/>
        <v>0</v>
      </c>
      <c r="H22" s="588" t="s">
        <v>119</v>
      </c>
    </row>
    <row r="23" spans="2:8" s="628" customFormat="1" x14ac:dyDescent="0.25">
      <c r="B23" s="590" t="s">
        <v>901</v>
      </c>
      <c r="C23" s="311"/>
      <c r="D23" s="582">
        <f t="shared" si="2"/>
        <v>0</v>
      </c>
      <c r="E23" s="467">
        <f t="shared" si="0"/>
        <v>0</v>
      </c>
      <c r="F23" s="312"/>
      <c r="G23" s="468">
        <f t="shared" si="1"/>
        <v>0</v>
      </c>
      <c r="H23" s="588" t="s">
        <v>119</v>
      </c>
    </row>
    <row r="24" spans="2:8" s="628" customFormat="1" ht="30" x14ac:dyDescent="0.25">
      <c r="B24" s="590" t="s">
        <v>503</v>
      </c>
      <c r="C24" s="311"/>
      <c r="D24" s="582">
        <f t="shared" si="2"/>
        <v>0</v>
      </c>
      <c r="E24" s="467">
        <f t="shared" si="0"/>
        <v>0</v>
      </c>
      <c r="F24" s="312"/>
      <c r="G24" s="468">
        <f t="shared" si="1"/>
        <v>0</v>
      </c>
      <c r="H24" s="588" t="s">
        <v>119</v>
      </c>
    </row>
    <row r="25" spans="2:8" s="628" customFormat="1" ht="30" x14ac:dyDescent="0.25">
      <c r="B25" s="590" t="s">
        <v>503</v>
      </c>
      <c r="C25" s="311"/>
      <c r="D25" s="582">
        <f t="shared" si="2"/>
        <v>0</v>
      </c>
      <c r="E25" s="467">
        <f t="shared" si="0"/>
        <v>0</v>
      </c>
      <c r="F25" s="312"/>
      <c r="G25" s="468">
        <f t="shared" si="1"/>
        <v>0</v>
      </c>
      <c r="H25" s="588" t="s">
        <v>119</v>
      </c>
    </row>
    <row r="26" spans="2:8" s="628" customFormat="1" ht="30" x14ac:dyDescent="0.25">
      <c r="B26" s="590" t="s">
        <v>503</v>
      </c>
      <c r="C26" s="311"/>
      <c r="D26" s="582">
        <f t="shared" si="2"/>
        <v>0</v>
      </c>
      <c r="E26" s="467">
        <f t="shared" si="0"/>
        <v>0</v>
      </c>
      <c r="F26" s="312"/>
      <c r="G26" s="468">
        <f t="shared" si="1"/>
        <v>0</v>
      </c>
      <c r="H26" s="588" t="s">
        <v>119</v>
      </c>
    </row>
    <row r="27" spans="2:8" s="628" customFormat="1" x14ac:dyDescent="0.25">
      <c r="B27" s="56" t="s">
        <v>113</v>
      </c>
      <c r="C27" s="467">
        <f>'Building Data schedule'!C23</f>
        <v>0</v>
      </c>
      <c r="D27" s="582">
        <f>5</f>
        <v>5</v>
      </c>
      <c r="E27" s="582">
        <f t="shared" si="0"/>
        <v>0</v>
      </c>
      <c r="F27" s="584">
        <f>D27</f>
        <v>5</v>
      </c>
      <c r="G27" s="585">
        <f t="shared" si="1"/>
        <v>0</v>
      </c>
      <c r="H27" s="588" t="s">
        <v>119</v>
      </c>
    </row>
    <row r="28" spans="2:8" s="628" customFormat="1" x14ac:dyDescent="0.25">
      <c r="B28" s="82" t="s">
        <v>114</v>
      </c>
      <c r="C28" s="467">
        <f>'Building Data schedule'!C24</f>
        <v>0</v>
      </c>
      <c r="D28" s="582">
        <f>1</f>
        <v>1</v>
      </c>
      <c r="E28" s="582">
        <f t="shared" si="0"/>
        <v>0</v>
      </c>
      <c r="F28" s="584">
        <f>D28</f>
        <v>1</v>
      </c>
      <c r="G28" s="585">
        <f t="shared" si="1"/>
        <v>0</v>
      </c>
      <c r="H28" s="588" t="s">
        <v>119</v>
      </c>
    </row>
    <row r="29" spans="2:8" s="628" customFormat="1" x14ac:dyDescent="0.25">
      <c r="B29" s="56" t="s">
        <v>115</v>
      </c>
      <c r="C29" s="467">
        <f>'Building Data schedule'!C25+'Building Data schedule'!C26</f>
        <v>0</v>
      </c>
      <c r="D29" s="582">
        <f>5</f>
        <v>5</v>
      </c>
      <c r="E29" s="582">
        <f t="shared" si="0"/>
        <v>0</v>
      </c>
      <c r="F29" s="584">
        <f>D29</f>
        <v>5</v>
      </c>
      <c r="G29" s="585">
        <f t="shared" si="1"/>
        <v>0</v>
      </c>
      <c r="H29" s="588" t="s">
        <v>119</v>
      </c>
    </row>
    <row r="30" spans="2:8" s="628" customFormat="1" x14ac:dyDescent="0.25">
      <c r="B30" s="56" t="s">
        <v>116</v>
      </c>
      <c r="C30" s="467">
        <f>'Building Data schedule'!C27</f>
        <v>0</v>
      </c>
      <c r="D30" s="582">
        <f>5</f>
        <v>5</v>
      </c>
      <c r="E30" s="582">
        <f t="shared" si="0"/>
        <v>0</v>
      </c>
      <c r="F30" s="584">
        <f>D30</f>
        <v>5</v>
      </c>
      <c r="G30" s="585">
        <f t="shared" si="1"/>
        <v>0</v>
      </c>
      <c r="H30" s="588" t="s">
        <v>119</v>
      </c>
    </row>
    <row r="31" spans="2:8" s="628" customFormat="1" ht="15.75" thickBot="1" x14ac:dyDescent="0.3">
      <c r="B31" s="493" t="s">
        <v>117</v>
      </c>
      <c r="C31" s="494">
        <f>'Building Data schedule'!C28+'Building Data schedule'!C29</f>
        <v>0</v>
      </c>
      <c r="D31" s="583">
        <f>5</f>
        <v>5</v>
      </c>
      <c r="E31" s="583">
        <f t="shared" si="0"/>
        <v>0</v>
      </c>
      <c r="F31" s="586">
        <f>D31</f>
        <v>5</v>
      </c>
      <c r="G31" s="587">
        <f t="shared" si="1"/>
        <v>0</v>
      </c>
      <c r="H31" s="589" t="s">
        <v>119</v>
      </c>
    </row>
    <row r="32" spans="2:8" s="628" customFormat="1" ht="15.75" thickBot="1" x14ac:dyDescent="0.3">
      <c r="B32" s="495" t="s">
        <v>19</v>
      </c>
      <c r="C32" s="496">
        <f>SUM(C7:C31)</f>
        <v>0</v>
      </c>
      <c r="D32" s="497" t="str">
        <f>IF(C32=0,"Please enter Area",E32/C32)</f>
        <v>Please enter Area</v>
      </c>
      <c r="E32" s="496">
        <f>SUM(E7:E31)</f>
        <v>0</v>
      </c>
      <c r="F32" s="498" t="str">
        <f>IF(C32=0,"Please enter Area",G32/C32)</f>
        <v>Please enter Area</v>
      </c>
      <c r="G32" s="499">
        <f>SUM(G7:G31)</f>
        <v>0</v>
      </c>
      <c r="H32" s="500"/>
    </row>
    <row r="33" spans="1:18" s="628" customFormat="1" ht="15.75" thickBot="1" x14ac:dyDescent="0.3">
      <c r="B33" s="501" t="s">
        <v>355</v>
      </c>
      <c r="C33" s="502"/>
      <c r="D33" s="503"/>
      <c r="E33" s="504">
        <f>(E32*'Building Data schedule'!C14*52)/1000</f>
        <v>0</v>
      </c>
      <c r="F33" s="505"/>
      <c r="G33" s="506">
        <f>(G32*'Building Data schedule'!C14*52)/1000</f>
        <v>0</v>
      </c>
      <c r="H33" s="179"/>
    </row>
    <row r="34" spans="1:18" s="628" customFormat="1" x14ac:dyDescent="0.25">
      <c r="G34" s="83"/>
    </row>
    <row r="35" spans="1:18" s="81" customFormat="1" ht="15.75" x14ac:dyDescent="0.25">
      <c r="A35" s="80" t="s">
        <v>505</v>
      </c>
      <c r="B35" s="80"/>
      <c r="C35" s="80"/>
      <c r="D35" s="80"/>
      <c r="E35" s="80"/>
      <c r="F35" s="80"/>
      <c r="G35" s="86"/>
      <c r="H35" s="80"/>
      <c r="I35" s="80"/>
      <c r="J35" s="80"/>
      <c r="K35" s="80"/>
      <c r="L35" s="80"/>
      <c r="M35" s="80"/>
      <c r="N35" s="80"/>
      <c r="O35" s="80"/>
      <c r="P35" s="80"/>
      <c r="Q35" s="80"/>
      <c r="R35" s="80"/>
    </row>
    <row r="36" spans="1:18" s="628" customFormat="1" ht="16.5" thickBot="1" x14ac:dyDescent="0.3">
      <c r="A36" s="7"/>
      <c r="G36" s="83"/>
      <c r="I36" s="21"/>
      <c r="J36" s="21"/>
    </row>
    <row r="37" spans="1:18" s="628" customFormat="1" ht="18" thickBot="1" x14ac:dyDescent="0.3">
      <c r="B37" s="1135" t="s">
        <v>6</v>
      </c>
      <c r="C37" s="1136"/>
      <c r="D37" s="84" t="s">
        <v>81</v>
      </c>
      <c r="E37" s="1137"/>
      <c r="F37" s="1138"/>
      <c r="G37" s="1138"/>
      <c r="H37" s="1138"/>
      <c r="I37" s="1138"/>
      <c r="J37" s="1138"/>
      <c r="K37" s="628" t="s">
        <v>105</v>
      </c>
    </row>
    <row r="38" spans="1:18" s="628" customFormat="1" ht="45.75" customHeight="1" x14ac:dyDescent="0.25">
      <c r="B38" s="1139" t="s">
        <v>26</v>
      </c>
      <c r="C38" s="1140"/>
      <c r="D38" s="1143" t="s">
        <v>7</v>
      </c>
      <c r="E38" s="1143" t="s">
        <v>30</v>
      </c>
      <c r="F38" s="1143" t="s">
        <v>80</v>
      </c>
      <c r="G38" s="1145" t="s">
        <v>131</v>
      </c>
      <c r="H38" s="1146"/>
      <c r="I38" s="1153" t="s">
        <v>108</v>
      </c>
      <c r="J38" s="1147" t="s">
        <v>109</v>
      </c>
    </row>
    <row r="39" spans="1:18" s="628" customFormat="1" ht="33" customHeight="1" thickBot="1" x14ac:dyDescent="0.3">
      <c r="B39" s="1141"/>
      <c r="C39" s="1142"/>
      <c r="D39" s="1144"/>
      <c r="E39" s="1144"/>
      <c r="F39" s="1144"/>
      <c r="G39" s="140" t="s">
        <v>123</v>
      </c>
      <c r="H39" s="141" t="s">
        <v>124</v>
      </c>
      <c r="I39" s="1154"/>
      <c r="J39" s="1148"/>
    </row>
    <row r="40" spans="1:18" s="628" customFormat="1" ht="15" customHeight="1" x14ac:dyDescent="0.25">
      <c r="B40" s="1119" t="s">
        <v>129</v>
      </c>
      <c r="C40" s="1120"/>
      <c r="D40" s="90"/>
      <c r="E40" s="90"/>
      <c r="F40" s="90"/>
      <c r="G40" s="91"/>
      <c r="H40" s="92"/>
      <c r="I40" s="109"/>
      <c r="J40" s="93"/>
    </row>
    <row r="41" spans="1:18" s="628" customFormat="1" x14ac:dyDescent="0.25">
      <c r="B41" s="1121" t="s">
        <v>125</v>
      </c>
      <c r="C41" s="1122"/>
      <c r="D41" s="58"/>
      <c r="E41" s="268"/>
      <c r="F41" s="268"/>
      <c r="G41" s="264">
        <v>90</v>
      </c>
      <c r="H41" s="265">
        <v>5</v>
      </c>
      <c r="I41" s="261">
        <f>E41*F41</f>
        <v>0</v>
      </c>
      <c r="J41" s="262">
        <f>E41*G41</f>
        <v>0</v>
      </c>
    </row>
    <row r="42" spans="1:18" s="628" customFormat="1" x14ac:dyDescent="0.25">
      <c r="B42" s="1121" t="s">
        <v>128</v>
      </c>
      <c r="C42" s="1122"/>
      <c r="D42" s="58"/>
      <c r="E42" s="268"/>
      <c r="F42" s="268"/>
      <c r="G42" s="264">
        <v>35</v>
      </c>
      <c r="H42" s="265">
        <v>3</v>
      </c>
      <c r="I42" s="261">
        <f>E42*F42</f>
        <v>0</v>
      </c>
      <c r="J42" s="262">
        <f>E42*G42</f>
        <v>0</v>
      </c>
    </row>
    <row r="43" spans="1:18" s="628" customFormat="1" x14ac:dyDescent="0.25">
      <c r="B43" s="1121" t="s">
        <v>126</v>
      </c>
      <c r="C43" s="1122"/>
      <c r="D43" s="58"/>
      <c r="E43" s="268"/>
      <c r="F43" s="268"/>
      <c r="G43" s="264">
        <v>50</v>
      </c>
      <c r="H43" s="265">
        <v>5</v>
      </c>
      <c r="I43" s="261">
        <f>E43*F43</f>
        <v>0</v>
      </c>
      <c r="J43" s="262">
        <f>E43*G43</f>
        <v>0</v>
      </c>
    </row>
    <row r="44" spans="1:18" s="628" customFormat="1" ht="32.25" customHeight="1" x14ac:dyDescent="0.25">
      <c r="B44" s="1111" t="s">
        <v>127</v>
      </c>
      <c r="C44" s="1112"/>
      <c r="D44" s="58"/>
      <c r="E44" s="268"/>
      <c r="F44" s="268"/>
      <c r="G44" s="266">
        <v>65</v>
      </c>
      <c r="H44" s="267">
        <v>5</v>
      </c>
      <c r="I44" s="261">
        <f>E44*F44</f>
        <v>0</v>
      </c>
      <c r="J44" s="262">
        <f>E44*G44</f>
        <v>0</v>
      </c>
    </row>
    <row r="45" spans="1:18" s="628" customFormat="1" ht="15.75" thickBot="1" x14ac:dyDescent="0.3">
      <c r="B45" s="1113" t="s">
        <v>130</v>
      </c>
      <c r="C45" s="1114"/>
      <c r="D45" s="94"/>
      <c r="E45" s="95"/>
      <c r="F45" s="95"/>
      <c r="G45" s="96"/>
      <c r="H45" s="95"/>
      <c r="I45" s="110"/>
      <c r="J45" s="106"/>
    </row>
    <row r="46" spans="1:18" s="628" customFormat="1" x14ac:dyDescent="0.25">
      <c r="B46" s="1115" t="s">
        <v>132</v>
      </c>
      <c r="C46" s="1116"/>
      <c r="D46" s="57"/>
      <c r="E46" s="269"/>
      <c r="F46" s="269"/>
      <c r="G46" s="97">
        <v>110</v>
      </c>
      <c r="H46" s="65">
        <v>22</v>
      </c>
      <c r="I46" s="261">
        <f t="shared" ref="I46:I71" si="3">E46*F46</f>
        <v>0</v>
      </c>
      <c r="J46" s="262">
        <f t="shared" ref="J46:J71" si="4">E46*G46</f>
        <v>0</v>
      </c>
    </row>
    <row r="47" spans="1:18" s="628" customFormat="1" x14ac:dyDescent="0.25">
      <c r="B47" s="1117" t="s">
        <v>133</v>
      </c>
      <c r="C47" s="1118"/>
      <c r="D47" s="58"/>
      <c r="E47" s="268"/>
      <c r="F47" s="268"/>
      <c r="G47" s="87">
        <v>20</v>
      </c>
      <c r="H47" s="66">
        <v>5</v>
      </c>
      <c r="I47" s="261">
        <f t="shared" si="3"/>
        <v>0</v>
      </c>
      <c r="J47" s="262">
        <f t="shared" si="4"/>
        <v>0</v>
      </c>
    </row>
    <row r="48" spans="1:18" s="628" customFormat="1" x14ac:dyDescent="0.25">
      <c r="B48" s="1117" t="s">
        <v>134</v>
      </c>
      <c r="C48" s="1118"/>
      <c r="D48" s="58"/>
      <c r="E48" s="268"/>
      <c r="F48" s="268"/>
      <c r="G48" s="87">
        <v>150</v>
      </c>
      <c r="H48" s="66">
        <v>5</v>
      </c>
      <c r="I48" s="261">
        <f t="shared" si="3"/>
        <v>0</v>
      </c>
      <c r="J48" s="262">
        <f t="shared" si="4"/>
        <v>0</v>
      </c>
    </row>
    <row r="49" spans="2:10" s="628" customFormat="1" x14ac:dyDescent="0.25">
      <c r="B49" s="1117" t="s">
        <v>135</v>
      </c>
      <c r="C49" s="1118"/>
      <c r="D49" s="58"/>
      <c r="E49" s="268"/>
      <c r="F49" s="268"/>
      <c r="G49" s="87">
        <v>65</v>
      </c>
      <c r="H49" s="66">
        <v>5</v>
      </c>
      <c r="I49" s="261">
        <f t="shared" si="3"/>
        <v>0</v>
      </c>
      <c r="J49" s="262">
        <f t="shared" si="4"/>
        <v>0</v>
      </c>
    </row>
    <row r="50" spans="2:10" s="628" customFormat="1" x14ac:dyDescent="0.25">
      <c r="B50" s="1117" t="s">
        <v>136</v>
      </c>
      <c r="C50" s="1118"/>
      <c r="D50" s="58"/>
      <c r="E50" s="268"/>
      <c r="F50" s="268"/>
      <c r="G50" s="87">
        <v>10</v>
      </c>
      <c r="H50" s="66">
        <v>2</v>
      </c>
      <c r="I50" s="261">
        <f t="shared" si="3"/>
        <v>0</v>
      </c>
      <c r="J50" s="262">
        <f t="shared" si="4"/>
        <v>0</v>
      </c>
    </row>
    <row r="51" spans="2:10" s="628" customFormat="1" x14ac:dyDescent="0.25">
      <c r="B51" s="1117" t="s">
        <v>137</v>
      </c>
      <c r="C51" s="1118"/>
      <c r="D51" s="58"/>
      <c r="E51" s="268"/>
      <c r="F51" s="268"/>
      <c r="G51" s="87">
        <v>10</v>
      </c>
      <c r="H51" s="66">
        <v>2</v>
      </c>
      <c r="I51" s="261">
        <f t="shared" si="3"/>
        <v>0</v>
      </c>
      <c r="J51" s="262">
        <f t="shared" si="4"/>
        <v>0</v>
      </c>
    </row>
    <row r="52" spans="2:10" s="628" customFormat="1" x14ac:dyDescent="0.25">
      <c r="B52" s="1117" t="s">
        <v>138</v>
      </c>
      <c r="C52" s="1118"/>
      <c r="D52" s="58"/>
      <c r="E52" s="268"/>
      <c r="F52" s="268"/>
      <c r="G52" s="87">
        <v>5</v>
      </c>
      <c r="H52" s="66">
        <v>5</v>
      </c>
      <c r="I52" s="261">
        <f t="shared" si="3"/>
        <v>0</v>
      </c>
      <c r="J52" s="262">
        <f t="shared" si="4"/>
        <v>0</v>
      </c>
    </row>
    <row r="53" spans="2:10" s="628" customFormat="1" x14ac:dyDescent="0.25">
      <c r="B53" s="1121" t="s">
        <v>139</v>
      </c>
      <c r="C53" s="1122"/>
      <c r="D53" s="58"/>
      <c r="E53" s="268"/>
      <c r="F53" s="268"/>
      <c r="G53" s="87">
        <v>65</v>
      </c>
      <c r="H53" s="66">
        <v>37.5</v>
      </c>
      <c r="I53" s="261">
        <f t="shared" si="3"/>
        <v>0</v>
      </c>
      <c r="J53" s="262">
        <f t="shared" si="4"/>
        <v>0</v>
      </c>
    </row>
    <row r="54" spans="2:10" s="628" customFormat="1" x14ac:dyDescent="0.25">
      <c r="B54" s="1121" t="s">
        <v>140</v>
      </c>
      <c r="C54" s="1122"/>
      <c r="D54" s="58"/>
      <c r="E54" s="268"/>
      <c r="F54" s="268"/>
      <c r="G54" s="87">
        <v>8</v>
      </c>
      <c r="H54" s="66">
        <v>2</v>
      </c>
      <c r="I54" s="261">
        <f t="shared" si="3"/>
        <v>0</v>
      </c>
      <c r="J54" s="262">
        <f t="shared" si="4"/>
        <v>0</v>
      </c>
    </row>
    <row r="55" spans="2:10" s="628" customFormat="1" x14ac:dyDescent="0.25">
      <c r="B55" s="1121" t="s">
        <v>141</v>
      </c>
      <c r="C55" s="1122"/>
      <c r="D55" s="58"/>
      <c r="E55" s="268"/>
      <c r="F55" s="268"/>
      <c r="G55" s="87">
        <v>46</v>
      </c>
      <c r="H55" s="66">
        <v>0</v>
      </c>
      <c r="I55" s="261">
        <f t="shared" si="3"/>
        <v>0</v>
      </c>
      <c r="J55" s="262">
        <f t="shared" si="4"/>
        <v>0</v>
      </c>
    </row>
    <row r="56" spans="2:10" s="628" customFormat="1" x14ac:dyDescent="0.25">
      <c r="B56" s="1121" t="s">
        <v>142</v>
      </c>
      <c r="C56" s="1122"/>
      <c r="D56" s="58"/>
      <c r="E56" s="268"/>
      <c r="F56" s="268"/>
      <c r="G56" s="87">
        <v>50</v>
      </c>
      <c r="H56" s="66">
        <v>0</v>
      </c>
      <c r="I56" s="261">
        <f t="shared" si="3"/>
        <v>0</v>
      </c>
      <c r="J56" s="262">
        <f t="shared" si="4"/>
        <v>0</v>
      </c>
    </row>
    <row r="57" spans="2:10" s="628" customFormat="1" x14ac:dyDescent="0.25">
      <c r="B57" s="1117" t="s">
        <v>143</v>
      </c>
      <c r="C57" s="1118"/>
      <c r="D57" s="58"/>
      <c r="E57" s="268"/>
      <c r="F57" s="268"/>
      <c r="G57" s="87">
        <v>62</v>
      </c>
      <c r="H57" s="66">
        <v>2</v>
      </c>
      <c r="I57" s="261">
        <f t="shared" si="3"/>
        <v>0</v>
      </c>
      <c r="J57" s="262">
        <f t="shared" si="4"/>
        <v>0</v>
      </c>
    </row>
    <row r="58" spans="2:10" s="628" customFormat="1" x14ac:dyDescent="0.25">
      <c r="B58" s="1121" t="s">
        <v>144</v>
      </c>
      <c r="C58" s="1122"/>
      <c r="D58" s="58"/>
      <c r="E58" s="268"/>
      <c r="F58" s="268"/>
      <c r="G58" s="87">
        <v>100</v>
      </c>
      <c r="H58" s="66">
        <v>0</v>
      </c>
      <c r="I58" s="261">
        <f t="shared" si="3"/>
        <v>0</v>
      </c>
      <c r="J58" s="262">
        <f t="shared" si="4"/>
        <v>0</v>
      </c>
    </row>
    <row r="59" spans="2:10" s="628" customFormat="1" x14ac:dyDescent="0.25">
      <c r="B59" s="1121" t="s">
        <v>145</v>
      </c>
      <c r="C59" s="1122"/>
      <c r="D59" s="58"/>
      <c r="E59" s="268"/>
      <c r="F59" s="268"/>
      <c r="G59" s="87">
        <v>150</v>
      </c>
      <c r="H59" s="66">
        <v>0</v>
      </c>
      <c r="I59" s="261">
        <f t="shared" si="3"/>
        <v>0</v>
      </c>
      <c r="J59" s="262">
        <f t="shared" si="4"/>
        <v>0</v>
      </c>
    </row>
    <row r="60" spans="2:10" s="628" customFormat="1" x14ac:dyDescent="0.25">
      <c r="B60" s="1121" t="s">
        <v>162</v>
      </c>
      <c r="C60" s="1122"/>
      <c r="D60" s="58"/>
      <c r="E60" s="268"/>
      <c r="F60" s="268"/>
      <c r="G60" s="268"/>
      <c r="H60" s="268"/>
      <c r="I60" s="261">
        <f t="shared" si="3"/>
        <v>0</v>
      </c>
      <c r="J60" s="262">
        <f t="shared" si="4"/>
        <v>0</v>
      </c>
    </row>
    <row r="61" spans="2:10" s="628" customFormat="1" x14ac:dyDescent="0.25">
      <c r="B61" s="1121" t="s">
        <v>162</v>
      </c>
      <c r="C61" s="1122"/>
      <c r="D61" s="58"/>
      <c r="E61" s="268"/>
      <c r="F61" s="268"/>
      <c r="G61" s="268"/>
      <c r="H61" s="268"/>
      <c r="I61" s="261">
        <f t="shared" si="3"/>
        <v>0</v>
      </c>
      <c r="J61" s="262">
        <f t="shared" si="4"/>
        <v>0</v>
      </c>
    </row>
    <row r="62" spans="2:10" s="628" customFormat="1" x14ac:dyDescent="0.25">
      <c r="B62" s="1121" t="s">
        <v>162</v>
      </c>
      <c r="C62" s="1122"/>
      <c r="D62" s="58"/>
      <c r="E62" s="268"/>
      <c r="F62" s="268"/>
      <c r="G62" s="268"/>
      <c r="H62" s="268"/>
      <c r="I62" s="261">
        <f t="shared" si="3"/>
        <v>0</v>
      </c>
      <c r="J62" s="262">
        <f t="shared" si="4"/>
        <v>0</v>
      </c>
    </row>
    <row r="63" spans="2:10" s="628" customFormat="1" x14ac:dyDescent="0.25">
      <c r="B63" s="1121" t="s">
        <v>162</v>
      </c>
      <c r="C63" s="1122"/>
      <c r="D63" s="58"/>
      <c r="E63" s="268"/>
      <c r="F63" s="268"/>
      <c r="G63" s="268"/>
      <c r="H63" s="268"/>
      <c r="I63" s="261">
        <f t="shared" si="3"/>
        <v>0</v>
      </c>
      <c r="J63" s="262">
        <f t="shared" si="4"/>
        <v>0</v>
      </c>
    </row>
    <row r="64" spans="2:10" s="628" customFormat="1" x14ac:dyDescent="0.25">
      <c r="B64" s="1121" t="s">
        <v>162</v>
      </c>
      <c r="C64" s="1122"/>
      <c r="D64" s="58"/>
      <c r="E64" s="268"/>
      <c r="F64" s="268"/>
      <c r="G64" s="268"/>
      <c r="H64" s="268"/>
      <c r="I64" s="261">
        <f t="shared" si="3"/>
        <v>0</v>
      </c>
      <c r="J64" s="262">
        <f t="shared" si="4"/>
        <v>0</v>
      </c>
    </row>
    <row r="65" spans="2:15" s="628" customFormat="1" x14ac:dyDescent="0.25">
      <c r="B65" s="1121" t="s">
        <v>162</v>
      </c>
      <c r="C65" s="1122"/>
      <c r="D65" s="58"/>
      <c r="E65" s="268"/>
      <c r="F65" s="268"/>
      <c r="G65" s="268"/>
      <c r="H65" s="268"/>
      <c r="I65" s="261">
        <f t="shared" si="3"/>
        <v>0</v>
      </c>
      <c r="J65" s="262">
        <f t="shared" si="4"/>
        <v>0</v>
      </c>
    </row>
    <row r="66" spans="2:15" s="628" customFormat="1" x14ac:dyDescent="0.25">
      <c r="B66" s="1121" t="s">
        <v>162</v>
      </c>
      <c r="C66" s="1122"/>
      <c r="D66" s="58"/>
      <c r="E66" s="268"/>
      <c r="F66" s="268"/>
      <c r="G66" s="268"/>
      <c r="H66" s="268"/>
      <c r="I66" s="261">
        <f t="shared" si="3"/>
        <v>0</v>
      </c>
      <c r="J66" s="262">
        <f t="shared" si="4"/>
        <v>0</v>
      </c>
    </row>
    <row r="67" spans="2:15" s="628" customFormat="1" x14ac:dyDescent="0.25">
      <c r="B67" s="1121" t="s">
        <v>162</v>
      </c>
      <c r="C67" s="1122"/>
      <c r="D67" s="58"/>
      <c r="E67" s="268"/>
      <c r="F67" s="268"/>
      <c r="G67" s="268"/>
      <c r="H67" s="268"/>
      <c r="I67" s="261">
        <f t="shared" si="3"/>
        <v>0</v>
      </c>
      <c r="J67" s="262">
        <f t="shared" si="4"/>
        <v>0</v>
      </c>
    </row>
    <row r="68" spans="2:15" s="628" customFormat="1" x14ac:dyDescent="0.25">
      <c r="B68" s="1121" t="s">
        <v>162</v>
      </c>
      <c r="C68" s="1122"/>
      <c r="D68" s="58"/>
      <c r="E68" s="268"/>
      <c r="F68" s="268"/>
      <c r="G68" s="268"/>
      <c r="H68" s="268"/>
      <c r="I68" s="261">
        <f t="shared" si="3"/>
        <v>0</v>
      </c>
      <c r="J68" s="262">
        <f t="shared" si="4"/>
        <v>0</v>
      </c>
    </row>
    <row r="69" spans="2:15" s="628" customFormat="1" x14ac:dyDescent="0.25">
      <c r="B69" s="1121" t="s">
        <v>162</v>
      </c>
      <c r="C69" s="1122"/>
      <c r="D69" s="58"/>
      <c r="E69" s="268"/>
      <c r="F69" s="268"/>
      <c r="G69" s="268"/>
      <c r="H69" s="268"/>
      <c r="I69" s="261">
        <f t="shared" si="3"/>
        <v>0</v>
      </c>
      <c r="J69" s="262">
        <f t="shared" si="4"/>
        <v>0</v>
      </c>
    </row>
    <row r="70" spans="2:15" s="628" customFormat="1" x14ac:dyDescent="0.25">
      <c r="B70" s="1121" t="s">
        <v>162</v>
      </c>
      <c r="C70" s="1122"/>
      <c r="D70" s="58"/>
      <c r="E70" s="268"/>
      <c r="F70" s="268"/>
      <c r="G70" s="268"/>
      <c r="H70" s="268"/>
      <c r="I70" s="261">
        <f t="shared" si="3"/>
        <v>0</v>
      </c>
      <c r="J70" s="262">
        <f t="shared" si="4"/>
        <v>0</v>
      </c>
    </row>
    <row r="71" spans="2:15" s="628" customFormat="1" ht="15.75" thickBot="1" x14ac:dyDescent="0.3">
      <c r="B71" s="1123" t="s">
        <v>162</v>
      </c>
      <c r="C71" s="1124"/>
      <c r="D71" s="59"/>
      <c r="E71" s="270"/>
      <c r="F71" s="270"/>
      <c r="G71" s="268"/>
      <c r="H71" s="268"/>
      <c r="I71" s="261">
        <f t="shared" si="3"/>
        <v>0</v>
      </c>
      <c r="J71" s="262">
        <f t="shared" si="4"/>
        <v>0</v>
      </c>
    </row>
    <row r="72" spans="2:15" s="628" customFormat="1" ht="33" customHeight="1" x14ac:dyDescent="0.25">
      <c r="B72" s="1125" t="s">
        <v>148</v>
      </c>
      <c r="C72" s="1126"/>
      <c r="D72" s="99"/>
      <c r="E72" s="100"/>
      <c r="F72" s="100"/>
      <c r="G72" s="101"/>
      <c r="H72" s="100"/>
      <c r="I72" s="111"/>
      <c r="J72" s="102"/>
    </row>
    <row r="73" spans="2:15" s="628" customFormat="1" x14ac:dyDescent="0.25">
      <c r="B73" s="1127" t="s">
        <v>149</v>
      </c>
      <c r="C73" s="1128"/>
      <c r="D73" s="752"/>
      <c r="E73" s="313"/>
      <c r="F73" s="313"/>
      <c r="G73" s="313"/>
      <c r="H73" s="313"/>
      <c r="I73" s="261">
        <f>E73*F73</f>
        <v>0</v>
      </c>
      <c r="J73" s="262">
        <f>E73*G73</f>
        <v>0</v>
      </c>
      <c r="K73" s="105" t="s">
        <v>153</v>
      </c>
      <c r="L73" s="3"/>
      <c r="M73" s="3"/>
    </row>
    <row r="74" spans="2:15" s="628" customFormat="1" ht="15" customHeight="1" x14ac:dyDescent="0.25">
      <c r="B74" s="1127" t="s">
        <v>150</v>
      </c>
      <c r="C74" s="1128"/>
      <c r="D74" s="752"/>
      <c r="E74" s="313"/>
      <c r="F74" s="313"/>
      <c r="G74" s="313"/>
      <c r="H74" s="313"/>
      <c r="I74" s="261">
        <f>E74*F74</f>
        <v>0</v>
      </c>
      <c r="J74" s="262">
        <f>E74*G74</f>
        <v>0</v>
      </c>
      <c r="K74" s="1000" t="s">
        <v>153</v>
      </c>
      <c r="L74" s="1001"/>
      <c r="M74" s="1001"/>
      <c r="N74" s="1001"/>
      <c r="O74" s="1001"/>
    </row>
    <row r="75" spans="2:15" s="628" customFormat="1" ht="15" customHeight="1" x14ac:dyDescent="0.25">
      <c r="B75" s="1127" t="s">
        <v>151</v>
      </c>
      <c r="C75" s="1128"/>
      <c r="D75" s="752"/>
      <c r="E75" s="313"/>
      <c r="F75" s="313"/>
      <c r="G75" s="1133" t="s">
        <v>152</v>
      </c>
      <c r="H75" s="1134"/>
      <c r="I75" s="261">
        <f>E75*F75</f>
        <v>0</v>
      </c>
      <c r="J75" s="262">
        <f>E75*110</f>
        <v>0</v>
      </c>
      <c r="K75" s="1000" t="s">
        <v>154</v>
      </c>
      <c r="L75" s="1001"/>
      <c r="M75" s="1001"/>
      <c r="N75" s="1001"/>
      <c r="O75" s="1001"/>
    </row>
    <row r="76" spans="2:15" s="628" customFormat="1" x14ac:dyDescent="0.25">
      <c r="B76" s="1131" t="s">
        <v>155</v>
      </c>
      <c r="C76" s="1132"/>
      <c r="D76" s="752"/>
      <c r="E76" s="313"/>
      <c r="F76" s="313"/>
      <c r="G76" s="313"/>
      <c r="H76" s="313"/>
      <c r="I76" s="261">
        <f>E76*F76</f>
        <v>0</v>
      </c>
      <c r="J76" s="262">
        <f>E76*G76</f>
        <v>0</v>
      </c>
      <c r="K76" s="1129" t="s">
        <v>157</v>
      </c>
      <c r="L76" s="1130"/>
      <c r="M76" s="1130"/>
      <c r="N76" s="1130"/>
      <c r="O76" s="1130"/>
    </row>
    <row r="77" spans="2:15" s="628" customFormat="1" x14ac:dyDescent="0.25">
      <c r="B77" s="1131" t="s">
        <v>156</v>
      </c>
      <c r="C77" s="1132"/>
      <c r="D77" s="752"/>
      <c r="E77" s="313"/>
      <c r="F77" s="313"/>
      <c r="G77" s="313"/>
      <c r="H77" s="313"/>
      <c r="I77" s="261">
        <f>E77*F77</f>
        <v>0</v>
      </c>
      <c r="J77" s="262">
        <f>E77*G77</f>
        <v>0</v>
      </c>
      <c r="K77" s="1129" t="s">
        <v>158</v>
      </c>
      <c r="L77" s="1130"/>
      <c r="M77" s="1130"/>
      <c r="N77" s="1130"/>
      <c r="O77" s="1130"/>
    </row>
    <row r="78" spans="2:15" s="628" customFormat="1" x14ac:dyDescent="0.25">
      <c r="B78" s="1149" t="s">
        <v>159</v>
      </c>
      <c r="C78" s="1150"/>
      <c r="D78" s="314"/>
      <c r="E78" s="314"/>
      <c r="F78" s="314"/>
      <c r="G78" s="103"/>
      <c r="H78" s="104"/>
      <c r="I78" s="112"/>
      <c r="J78" s="107"/>
      <c r="K78" s="2"/>
    </row>
    <row r="79" spans="2:15" s="628" customFormat="1" ht="15.75" thickBot="1" x14ac:dyDescent="0.3">
      <c r="B79" s="1151" t="s">
        <v>160</v>
      </c>
      <c r="C79" s="1152"/>
      <c r="D79" s="315"/>
      <c r="E79" s="316"/>
      <c r="F79" s="316"/>
      <c r="G79" s="316"/>
      <c r="H79" s="316"/>
      <c r="I79" s="261">
        <f>E79*F79</f>
        <v>0</v>
      </c>
      <c r="J79" s="262">
        <f>E79*G79</f>
        <v>0</v>
      </c>
      <c r="K79" s="1000" t="s">
        <v>161</v>
      </c>
      <c r="L79" s="1001"/>
      <c r="M79" s="1001"/>
      <c r="N79" s="1001"/>
      <c r="O79" s="1001"/>
    </row>
    <row r="80" spans="2:15" s="628" customFormat="1" ht="15.75" thickBot="1" x14ac:dyDescent="0.3">
      <c r="B80" s="22"/>
      <c r="C80" s="22"/>
      <c r="D80" s="22"/>
      <c r="E80" s="22"/>
      <c r="F80" s="22"/>
      <c r="G80" s="89"/>
      <c r="H80" s="108" t="s">
        <v>42</v>
      </c>
      <c r="I80" s="263">
        <f>SUM(I41:I79)</f>
        <v>0</v>
      </c>
      <c r="J80" s="263">
        <f>SUM(J41:J79)</f>
        <v>0</v>
      </c>
    </row>
    <row r="81" spans="2:7" s="628" customFormat="1" ht="15.75" thickBot="1" x14ac:dyDescent="0.3">
      <c r="G81" s="83"/>
    </row>
    <row r="82" spans="2:7" s="628" customFormat="1" ht="15.75" thickBot="1" x14ac:dyDescent="0.3">
      <c r="B82" s="74" t="s">
        <v>120</v>
      </c>
      <c r="C82" s="75"/>
      <c r="D82" s="76"/>
      <c r="E82" s="469" t="str">
        <f>F32</f>
        <v>Please enter Area</v>
      </c>
      <c r="G82" s="83"/>
    </row>
    <row r="83" spans="2:7" s="628" customFormat="1" ht="15.75" thickBot="1" x14ac:dyDescent="0.3">
      <c r="B83" s="74" t="s">
        <v>121</v>
      </c>
      <c r="C83" s="75"/>
      <c r="D83" s="76"/>
      <c r="E83" s="470" t="str">
        <f>D32</f>
        <v>Please enter Area</v>
      </c>
      <c r="G83" s="83"/>
    </row>
    <row r="84" spans="2:7" s="628" customFormat="1" ht="15.75" thickBot="1" x14ac:dyDescent="0.3">
      <c r="B84" s="64" t="s">
        <v>477</v>
      </c>
      <c r="C84" s="77"/>
      <c r="D84" s="78"/>
      <c r="E84" s="471">
        <f>IFERROR(((E83-E82)/E83),0)</f>
        <v>0</v>
      </c>
      <c r="G84" s="83"/>
    </row>
    <row r="85" spans="2:7" s="628" customFormat="1" ht="15.75" thickBot="1" x14ac:dyDescent="0.3">
      <c r="B85" s="64" t="s">
        <v>872</v>
      </c>
      <c r="C85" s="77"/>
      <c r="D85" s="78"/>
      <c r="E85" s="762">
        <f>IF((E84&gt;40%),1,(E84/40%))</f>
        <v>0</v>
      </c>
      <c r="F85" s="760" t="s">
        <v>768</v>
      </c>
      <c r="G85" s="83"/>
    </row>
    <row r="86" spans="2:7" s="628" customFormat="1" x14ac:dyDescent="0.25">
      <c r="G86" s="83"/>
    </row>
    <row r="87" spans="2:7" s="628" customFormat="1" x14ac:dyDescent="0.25">
      <c r="B87" s="98" t="s">
        <v>146</v>
      </c>
      <c r="G87" s="83"/>
    </row>
    <row r="88" spans="2:7" s="628" customFormat="1" x14ac:dyDescent="0.25">
      <c r="B88" s="98" t="s">
        <v>147</v>
      </c>
      <c r="G88" s="83"/>
    </row>
  </sheetData>
  <sheetProtection algorithmName="SHA-512" hashValue="56utMk8fbsA/TeIhfGVwzcM8WmS2pVxWF9s7yhHLigxMLJdv02DW04dAtl9j38GDUSuMSoW4A6Ay0TcVvhvmpQ==" saltValue="/ZbHg5nZxxLbKdbojXat6g==" spinCount="100000" sheet="1" objects="1" scenarios="1" selectLockedCells="1"/>
  <mergeCells count="55">
    <mergeCell ref="K79:O79"/>
    <mergeCell ref="B78:C78"/>
    <mergeCell ref="B79:C79"/>
    <mergeCell ref="I38:I39"/>
    <mergeCell ref="B67:C67"/>
    <mergeCell ref="B64:C64"/>
    <mergeCell ref="B65:C65"/>
    <mergeCell ref="B66:C66"/>
    <mergeCell ref="B58:C58"/>
    <mergeCell ref="B59:C59"/>
    <mergeCell ref="B60:C60"/>
    <mergeCell ref="B61:C61"/>
    <mergeCell ref="B62:C62"/>
    <mergeCell ref="B63:C63"/>
    <mergeCell ref="K75:O75"/>
    <mergeCell ref="B68:C68"/>
    <mergeCell ref="B37:C37"/>
    <mergeCell ref="E37:J37"/>
    <mergeCell ref="B38:C39"/>
    <mergeCell ref="D38:D39"/>
    <mergeCell ref="E38:E39"/>
    <mergeCell ref="G38:H38"/>
    <mergeCell ref="F38:F39"/>
    <mergeCell ref="J38:J39"/>
    <mergeCell ref="K77:O77"/>
    <mergeCell ref="B74:C74"/>
    <mergeCell ref="B75:C75"/>
    <mergeCell ref="B76:C76"/>
    <mergeCell ref="B77:C77"/>
    <mergeCell ref="K76:O76"/>
    <mergeCell ref="G75:H75"/>
    <mergeCell ref="B48:C48"/>
    <mergeCell ref="K74:O74"/>
    <mergeCell ref="B70:C70"/>
    <mergeCell ref="B71:C71"/>
    <mergeCell ref="B72:C72"/>
    <mergeCell ref="B73:C73"/>
    <mergeCell ref="B49:C49"/>
    <mergeCell ref="B50:C50"/>
    <mergeCell ref="B69:C69"/>
    <mergeCell ref="B56:C56"/>
    <mergeCell ref="B57:C57"/>
    <mergeCell ref="B51:C51"/>
    <mergeCell ref="B52:C52"/>
    <mergeCell ref="B53:C53"/>
    <mergeCell ref="B54:C54"/>
    <mergeCell ref="B55:C55"/>
    <mergeCell ref="B44:C44"/>
    <mergeCell ref="B45:C45"/>
    <mergeCell ref="B46:C46"/>
    <mergeCell ref="B47:C47"/>
    <mergeCell ref="B40:C40"/>
    <mergeCell ref="B41:C41"/>
    <mergeCell ref="B42:C42"/>
    <mergeCell ref="B43:C4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C000"/>
  </sheetPr>
  <dimension ref="A1:I22"/>
  <sheetViews>
    <sheetView zoomScale="85" zoomScaleNormal="85" workbookViewId="0">
      <selection activeCell="B14" sqref="B14"/>
    </sheetView>
  </sheetViews>
  <sheetFormatPr defaultRowHeight="15" x14ac:dyDescent="0.25"/>
  <cols>
    <col min="1" max="1" width="4.140625" customWidth="1"/>
    <col min="2" max="2" width="31.7109375" customWidth="1"/>
    <col min="3" max="6" width="20.7109375" customWidth="1"/>
    <col min="7" max="7" width="20.7109375" style="83" customWidth="1"/>
    <col min="8" max="8" width="20.7109375" customWidth="1"/>
    <col min="9" max="10" width="25.7109375" customWidth="1"/>
    <col min="11" max="11" width="38.140625" customWidth="1"/>
  </cols>
  <sheetData>
    <row r="1" spans="1:9" ht="15.75" x14ac:dyDescent="0.25">
      <c r="A1" s="7" t="s">
        <v>777</v>
      </c>
      <c r="D1" s="176"/>
    </row>
    <row r="2" spans="1:9" s="628" customFormat="1" x14ac:dyDescent="0.25">
      <c r="G2" s="83"/>
    </row>
    <row r="3" spans="1:9" s="20" customFormat="1" ht="15.75" x14ac:dyDescent="0.25">
      <c r="A3" s="20" t="s">
        <v>845</v>
      </c>
      <c r="G3" s="85"/>
    </row>
    <row r="4" spans="1:9" ht="15.75" x14ac:dyDescent="0.25">
      <c r="A4" s="7"/>
    </row>
    <row r="5" spans="1:9" ht="15.75" thickBot="1" x14ac:dyDescent="0.3"/>
    <row r="6" spans="1:9" ht="15.75" customHeight="1" thickBot="1" x14ac:dyDescent="0.3">
      <c r="B6" s="1106" t="s">
        <v>256</v>
      </c>
      <c r="C6" s="132" t="s">
        <v>654</v>
      </c>
      <c r="D6" s="133" t="s">
        <v>1</v>
      </c>
      <c r="E6" s="1"/>
      <c r="F6" s="1"/>
      <c r="H6" s="1157" t="s">
        <v>292</v>
      </c>
      <c r="I6" s="1158"/>
    </row>
    <row r="7" spans="1:9" ht="30.75" thickBot="1" x14ac:dyDescent="0.3">
      <c r="B7" s="1107"/>
      <c r="C7" s="134" t="s">
        <v>262</v>
      </c>
      <c r="D7" s="135" t="s">
        <v>2</v>
      </c>
      <c r="E7" s="136" t="s">
        <v>44</v>
      </c>
      <c r="F7" s="137" t="s">
        <v>3</v>
      </c>
      <c r="H7" s="1129"/>
      <c r="I7" s="1159"/>
    </row>
    <row r="8" spans="1:9" ht="15" customHeight="1" x14ac:dyDescent="0.25">
      <c r="B8" s="72" t="s">
        <v>414</v>
      </c>
      <c r="C8" s="455" t="e">
        <f>SUM('Building Data schedule'!K36:K45)*' ACMV 2.1a'!D15</f>
        <v>#N/A</v>
      </c>
      <c r="D8" s="457" t="e">
        <f>SUM('Building Data schedule'!K36:K45)*' ACMV 2.1a'!F36</f>
        <v>#N/A</v>
      </c>
      <c r="E8" s="453" t="e">
        <f t="shared" ref="E8:E17" si="0">IF(C8=0,"-",(C8-D8)/C8)</f>
        <v>#N/A</v>
      </c>
      <c r="F8" s="454" t="e">
        <f t="shared" ref="F8:F17" si="1">IF($D$18=0,"-",D8/$D$18)</f>
        <v>#N/A</v>
      </c>
      <c r="H8" s="1129"/>
      <c r="I8" s="1159"/>
    </row>
    <row r="9" spans="1:9" x14ac:dyDescent="0.25">
      <c r="B9" s="73" t="s">
        <v>97</v>
      </c>
      <c r="C9" s="456">
        <f>'Lighting Power Budget 2.1b'!J86</f>
        <v>0</v>
      </c>
      <c r="D9" s="458">
        <f>'Lighting Power Budget 2.1b'!F86-'Lighting Power Budget 2.1b'!G151</f>
        <v>0</v>
      </c>
      <c r="E9" s="453" t="str">
        <f t="shared" si="0"/>
        <v>-</v>
      </c>
      <c r="F9" s="454" t="e">
        <f t="shared" si="1"/>
        <v>#N/A</v>
      </c>
      <c r="H9" s="1129"/>
      <c r="I9" s="1159"/>
    </row>
    <row r="10" spans="1:9" x14ac:dyDescent="0.25">
      <c r="B10" s="73" t="s">
        <v>4</v>
      </c>
      <c r="C10" s="456">
        <f>'Mechanical Ventilation'!D217</f>
        <v>0</v>
      </c>
      <c r="D10" s="458">
        <f>'Mechanical Ventilation'!D218</f>
        <v>0</v>
      </c>
      <c r="E10" s="453" t="str">
        <f t="shared" si="0"/>
        <v>-</v>
      </c>
      <c r="F10" s="454" t="e">
        <f t="shared" si="1"/>
        <v>#N/A</v>
      </c>
      <c r="H10" s="1129"/>
      <c r="I10" s="1159"/>
    </row>
    <row r="11" spans="1:9" x14ac:dyDescent="0.25">
      <c r="B11" s="73" t="s">
        <v>98</v>
      </c>
      <c r="C11" s="456">
        <f>('Vertical Transportation'!E31+'Vertical Transportation'!E55)</f>
        <v>0</v>
      </c>
      <c r="D11" s="458">
        <f>('Vertical Transportation'!E30+'Vertical Transportation'!E54)</f>
        <v>0</v>
      </c>
      <c r="E11" s="453" t="str">
        <f t="shared" si="0"/>
        <v>-</v>
      </c>
      <c r="F11" s="454" t="e">
        <f t="shared" si="1"/>
        <v>#N/A</v>
      </c>
      <c r="H11" s="1129"/>
      <c r="I11" s="1159"/>
    </row>
    <row r="12" spans="1:9" x14ac:dyDescent="0.25">
      <c r="B12" s="73" t="s">
        <v>99</v>
      </c>
      <c r="C12" s="456">
        <f>'Hot Water'!C65</f>
        <v>0</v>
      </c>
      <c r="D12" s="458">
        <f>'Hot Water'!C63</f>
        <v>0</v>
      </c>
      <c r="E12" s="453" t="str">
        <f t="shared" si="0"/>
        <v>-</v>
      </c>
      <c r="F12" s="454" t="e">
        <f t="shared" si="1"/>
        <v>#N/A</v>
      </c>
      <c r="H12" s="1129"/>
      <c r="I12" s="1159"/>
    </row>
    <row r="13" spans="1:9" x14ac:dyDescent="0.25">
      <c r="B13" s="73" t="s">
        <v>534</v>
      </c>
      <c r="C13" s="478">
        <f>0</f>
        <v>0</v>
      </c>
      <c r="D13" s="460">
        <f>-('Energy Efficient Features'!D24)</f>
        <v>0</v>
      </c>
      <c r="E13" s="453" t="str">
        <f t="shared" si="0"/>
        <v>-</v>
      </c>
      <c r="F13" s="454" t="e">
        <f t="shared" si="1"/>
        <v>#N/A</v>
      </c>
      <c r="H13" s="1129"/>
      <c r="I13" s="1159"/>
    </row>
    <row r="14" spans="1:9" x14ac:dyDescent="0.25">
      <c r="B14" s="576" t="s">
        <v>573</v>
      </c>
      <c r="C14" s="577"/>
      <c r="D14" s="578"/>
      <c r="E14" s="453" t="str">
        <f t="shared" si="0"/>
        <v>-</v>
      </c>
      <c r="F14" s="454" t="e">
        <f t="shared" si="1"/>
        <v>#N/A</v>
      </c>
      <c r="H14" s="1129"/>
      <c r="I14" s="1159"/>
    </row>
    <row r="15" spans="1:9" x14ac:dyDescent="0.25">
      <c r="B15" s="50" t="s">
        <v>100</v>
      </c>
      <c r="C15" s="459">
        <f>'Service Equipment'!J54</f>
        <v>0</v>
      </c>
      <c r="D15" s="460">
        <f>'Service Equipment'!I54</f>
        <v>0</v>
      </c>
      <c r="E15" s="453" t="str">
        <f t="shared" si="0"/>
        <v>-</v>
      </c>
      <c r="F15" s="454" t="e">
        <f t="shared" si="1"/>
        <v>#N/A</v>
      </c>
      <c r="H15" s="1129"/>
      <c r="I15" s="1159"/>
    </row>
    <row r="16" spans="1:9" x14ac:dyDescent="0.25">
      <c r="B16" s="50" t="s">
        <v>273</v>
      </c>
      <c r="C16" s="290">
        <v>0</v>
      </c>
      <c r="D16" s="460">
        <f>'LOCKED SHEET'!D31</f>
        <v>0</v>
      </c>
      <c r="E16" s="453" t="str">
        <f t="shared" si="0"/>
        <v>-</v>
      </c>
      <c r="F16" s="454" t="e">
        <f t="shared" si="1"/>
        <v>#N/A</v>
      </c>
      <c r="H16" s="1129"/>
      <c r="I16" s="1159"/>
    </row>
    <row r="17" spans="2:9" ht="45.75" thickBot="1" x14ac:dyDescent="0.3">
      <c r="B17" s="225" t="s">
        <v>415</v>
      </c>
      <c r="C17" s="459">
        <f>'LOCKED SHEET'!J26</f>
        <v>0</v>
      </c>
      <c r="D17" s="460">
        <f>'LOCKED SHEET'!I26</f>
        <v>0</v>
      </c>
      <c r="E17" s="453" t="str">
        <f t="shared" si="0"/>
        <v>-</v>
      </c>
      <c r="F17" s="454" t="e">
        <f t="shared" si="1"/>
        <v>#N/A</v>
      </c>
      <c r="H17" s="1160"/>
      <c r="I17" s="1161"/>
    </row>
    <row r="18" spans="2:9" ht="15.75" thickBot="1" x14ac:dyDescent="0.3">
      <c r="B18" s="51" t="s">
        <v>407</v>
      </c>
      <c r="C18" s="461" t="e">
        <f>SUM(C8:C17)</f>
        <v>#N/A</v>
      </c>
      <c r="D18" s="462" t="e">
        <f>SUM(D8:D17)</f>
        <v>#N/A</v>
      </c>
      <c r="E18" s="33"/>
    </row>
    <row r="19" spans="2:9" ht="15.75" thickBot="1" x14ac:dyDescent="0.3"/>
    <row r="20" spans="2:9" ht="30.75" customHeight="1" thickBot="1" x14ac:dyDescent="0.3">
      <c r="B20" s="1155" t="s">
        <v>732</v>
      </c>
      <c r="C20" s="1156"/>
      <c r="D20" s="463" t="e">
        <f>(C18-D18)</f>
        <v>#N/A</v>
      </c>
      <c r="F20" s="1162" t="s">
        <v>870</v>
      </c>
      <c r="G20" s="1163"/>
      <c r="I20" s="628"/>
    </row>
    <row r="21" spans="2:9" ht="15.75" thickBot="1" x14ac:dyDescent="0.3">
      <c r="B21" s="705" t="s">
        <v>733</v>
      </c>
      <c r="C21" s="706"/>
      <c r="D21" s="923" t="e">
        <f>IF(C18=0,0,D20/C18)</f>
        <v>#N/A</v>
      </c>
      <c r="F21" s="1164" t="e">
        <f>IF(D21&gt;33%,MIN(2,(D21-33%)*100/3),0)</f>
        <v>#N/A</v>
      </c>
      <c r="G21" s="1165"/>
    </row>
    <row r="22" spans="2:9" ht="15.75" thickBot="1" x14ac:dyDescent="0.3">
      <c r="B22" s="79" t="s">
        <v>871</v>
      </c>
      <c r="C22" s="78"/>
      <c r="D22" s="464" t="e">
        <f>IF(D21&gt;33%,11,(D21/3)*100)</f>
        <v>#N/A</v>
      </c>
      <c r="E22" s="760" t="s">
        <v>778</v>
      </c>
    </row>
  </sheetData>
  <sheetProtection algorithmName="SHA-512" hashValue="n7Y/a0UWpnlEtMuAGPDc2YnINWLKlJMoxravOYfkLUqY9nxT2PFhsd5XisSHA7Y9BIJQZZoCDzvElBye5PWqjA==" saltValue="9J6ofEisox2sX62g7yQJyQ==" spinCount="100000" sheet="1" selectLockedCells="1" sort="0" autoFilter="0" pivotTables="0"/>
  <mergeCells count="5">
    <mergeCell ref="B20:C20"/>
    <mergeCell ref="H6:I17"/>
    <mergeCell ref="B6:B7"/>
    <mergeCell ref="F20:G20"/>
    <mergeCell ref="F21:G21"/>
  </mergeCells>
  <conditionalFormatting sqref="E8:E17">
    <cfRule type="colorScale" priority="9">
      <colorScale>
        <cfvo type="num" val="0"/>
        <cfvo type="num" val="0.15"/>
        <cfvo type="num" val="0.3"/>
        <color rgb="FFF8696B"/>
        <color rgb="FFFFEB84"/>
        <color rgb="FF63BE7B"/>
      </colorScale>
    </cfRule>
  </conditionalFormatting>
  <conditionalFormatting sqref="F8:F17">
    <cfRule type="colorScale" priority="11">
      <colorScale>
        <cfvo type="min"/>
        <cfvo type="percentile" val="50"/>
        <cfvo type="max"/>
        <color rgb="FFF8696B"/>
        <color rgb="FFFFEB84"/>
        <color rgb="FF63BE7B"/>
      </colorScale>
    </cfRule>
  </conditionalFormatting>
  <conditionalFormatting sqref="D21">
    <cfRule type="colorScale" priority="3">
      <colorScale>
        <cfvo type="num" val="0"/>
        <cfvo type="num" val="0.15"/>
        <cfvo type="num" val="0.3"/>
        <color theme="9"/>
        <color rgb="FFFFEB84"/>
        <color rgb="FF63BE7B"/>
      </colorScale>
    </cfRule>
  </conditionalFormatting>
  <pageMargins left="0.7" right="0.7" top="0.75" bottom="0.75" header="0.3" footer="0.3"/>
  <pageSetup paperSize="8" scale="67" orientation="landscape"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Revision Tracking</vt:lpstr>
      <vt:lpstr>Guidance Notes</vt:lpstr>
      <vt:lpstr>Notes for kWadj</vt:lpstr>
      <vt:lpstr>Building Data schedule</vt:lpstr>
      <vt:lpstr> ACMV 2.1a</vt:lpstr>
      <vt:lpstr>Lighting Power Budget 2.1b</vt:lpstr>
      <vt:lpstr>Car Park 2.1c</vt:lpstr>
      <vt:lpstr>Receptacle Load 2.1d</vt:lpstr>
      <vt:lpstr>Building Energy 2.1e</vt:lpstr>
      <vt:lpstr>Renewable Energy 2.2c</vt:lpstr>
      <vt:lpstr>Mechanical Ventilation</vt:lpstr>
      <vt:lpstr>Vertical Transportation</vt:lpstr>
      <vt:lpstr>Hot Water</vt:lpstr>
      <vt:lpstr>Energy Efficient Features</vt:lpstr>
      <vt:lpstr>Service Equipment</vt:lpstr>
      <vt:lpstr>Heat Load calculation</vt:lpstr>
      <vt:lpstr>VRVVRFSplit System Tab</vt:lpstr>
      <vt:lpstr>AHU_FCU_PAU Working</vt:lpstr>
      <vt:lpstr>LOCKED SHEET</vt:lpstr>
      <vt:lpstr>Cooling</vt:lpstr>
      <vt:lpstr>CoolingLoad</vt:lpstr>
      <vt:lpstr>'Building Data schedule'!Print_Area</vt:lpstr>
      <vt:lpstr>'Car Park 2.1c'!Print_Area</vt:lpstr>
      <vt:lpstr>'Mechanical Ventilation'!Print_Area</vt:lpstr>
      <vt:lpstr>'Renewable Energy 2.2c'!Print_Area</vt:lpstr>
      <vt:lpstr>'Car Park 2.1c'!Print_Titles</vt:lpstr>
      <vt:lpstr>'Mechanical Ventilation'!Print_Titles</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Towell</dc:creator>
  <cp:lastModifiedBy>Yock Keng LEOW (BCA)</cp:lastModifiedBy>
  <cp:lastPrinted>2016-04-01T09:46:23Z</cp:lastPrinted>
  <dcterms:created xsi:type="dcterms:W3CDTF">2015-05-04T01:50:55Z</dcterms:created>
  <dcterms:modified xsi:type="dcterms:W3CDTF">2020-01-22T10:11:56Z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LEOW_Yock_Keng@bca.gov.sg</vt:lpwstr>
  </property>
  <property fmtid="{D5CDD505-2E9C-101B-9397-08002B2CF9AE}" pid="5" name="MSIP_Label_3f9331f7-95a2-472a-92bc-d73219eb516b_SetDate">
    <vt:lpwstr>2020-01-22T10:11:55.6967657Z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bb2d3c14-3234-4afe-869a-556b7aed0c30</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LEOW_Yock_Keng@bca.gov.sg</vt:lpwstr>
  </property>
  <property fmtid="{D5CDD505-2E9C-101B-9397-08002B2CF9AE}" pid="13" name="MSIP_Label_4f288355-fb4c-44cd-b9ca-40cfc2aee5f8_SetDate">
    <vt:lpwstr>2020-01-22T10:11:55.6967657Z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bb2d3c14-3234-4afe-869a-556b7aed0c30</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