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updateLinks="never" defaultThemeVersion="166925"/>
  <mc:AlternateContent xmlns:mc="http://schemas.openxmlformats.org/markup-compatibility/2006">
    <mc:Choice Requires="x15">
      <x15ac:absPath xmlns:x15ac="http://schemas.microsoft.com/office/spreadsheetml/2010/11/ac" url="C:\Users\bca_jiajun\Downloads\"/>
    </mc:Choice>
  </mc:AlternateContent>
  <xr:revisionPtr revIDLastSave="0" documentId="13_ncr:1_{F76CD40B-F454-44AA-A2D1-10BAAE5EF2B0}" xr6:coauthVersionLast="47" xr6:coauthVersionMax="47" xr10:uidLastSave="{00000000-0000-0000-0000-000000000000}"/>
  <bookViews>
    <workbookView xWindow="-110" yWindow="-110" windowWidth="19420" windowHeight="11620" tabRatio="634" xr2:uid="{00000000-000D-0000-FFFF-FFFF00000000}"/>
  </bookViews>
  <sheets>
    <sheet name="1. Project Details" sheetId="32" r:id="rId1"/>
    <sheet name="2. Summary" sheetId="1" r:id="rId2"/>
    <sheet name="3. Energy Efficiency" sheetId="28" r:id="rId3"/>
    <sheet name="4. Resilience" sheetId="2" r:id="rId4"/>
    <sheet name="5. Whole Life Carbon" sheetId="3" r:id="rId5"/>
    <sheet name="6. Health&amp;Wellbeing" sheetId="5" r:id="rId6"/>
    <sheet name="7. Intelligence" sheetId="16" r:id="rId7"/>
    <sheet name="8. Maintainability" sheetId="30"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Maintainability'!$A$1:$G$64</definedName>
    <definedName name="Step">'[1]Raw Data'!$D$2:$D$4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2" l="1"/>
  <c r="F37" i="2"/>
  <c r="F57" i="2"/>
  <c r="H53" i="3" l="1"/>
  <c r="D10" i="1"/>
  <c r="D11" i="1" l="1"/>
  <c r="H66" i="3"/>
  <c r="H65" i="3"/>
  <c r="H67" i="3"/>
  <c r="H38" i="5"/>
  <c r="M40" i="30"/>
  <c r="E40" i="30" s="1"/>
  <c r="M34" i="30"/>
  <c r="E34" i="30" s="1"/>
  <c r="M31" i="30"/>
  <c r="E31" i="30" s="1"/>
  <c r="M41" i="30"/>
  <c r="E41" i="30" s="1"/>
  <c r="M24" i="30"/>
  <c r="E24" i="30" s="1"/>
  <c r="E21" i="30"/>
  <c r="E30" i="30"/>
  <c r="E32" i="30"/>
  <c r="E42" i="30"/>
  <c r="E46" i="30"/>
  <c r="M56" i="30"/>
  <c r="E56" i="30" s="1"/>
  <c r="M55" i="30"/>
  <c r="E55" i="30" s="1"/>
  <c r="M47" i="30"/>
  <c r="E47" i="30" s="1"/>
  <c r="M27" i="30"/>
  <c r="E27" i="30" s="1"/>
  <c r="M20" i="30"/>
  <c r="E20" i="30" s="1"/>
  <c r="M19" i="30"/>
  <c r="E19" i="30" s="1"/>
  <c r="M18" i="30"/>
  <c r="E18" i="30" s="1"/>
  <c r="K62" i="30"/>
  <c r="K61" i="30"/>
  <c r="K60" i="30"/>
  <c r="K59" i="30"/>
  <c r="K58" i="30"/>
  <c r="K56" i="30"/>
  <c r="K54" i="30" s="1"/>
  <c r="K55" i="30"/>
  <c r="K53" i="30"/>
  <c r="K52" i="30"/>
  <c r="K51" i="30"/>
  <c r="K50" i="30"/>
  <c r="K49" i="30"/>
  <c r="K48" i="30"/>
  <c r="K47" i="30"/>
  <c r="K45" i="30"/>
  <c r="K44" i="30"/>
  <c r="K43" i="30"/>
  <c r="K41" i="30"/>
  <c r="K40" i="30"/>
  <c r="K39" i="30"/>
  <c r="K38" i="30"/>
  <c r="K37" i="30"/>
  <c r="K36" i="30"/>
  <c r="K35" i="30"/>
  <c r="K34" i="30"/>
  <c r="K33" i="30"/>
  <c r="K31" i="30"/>
  <c r="K29" i="30"/>
  <c r="K28" i="30"/>
  <c r="K27" i="30"/>
  <c r="K26" i="30"/>
  <c r="K25" i="30"/>
  <c r="K24" i="30"/>
  <c r="K23" i="30"/>
  <c r="K22" i="30"/>
  <c r="K20" i="30"/>
  <c r="K19" i="30"/>
  <c r="K18" i="30"/>
  <c r="K17" i="30"/>
  <c r="K14" i="30"/>
  <c r="K13" i="30"/>
  <c r="K12" i="30"/>
  <c r="K11" i="30"/>
  <c r="K10" i="30"/>
  <c r="K9" i="30"/>
  <c r="K8" i="30"/>
  <c r="K63" i="30"/>
  <c r="K57" i="30"/>
  <c r="C56" i="30"/>
  <c r="B56" i="30"/>
  <c r="C55" i="30"/>
  <c r="B55" i="30"/>
  <c r="C53" i="30"/>
  <c r="B53" i="30"/>
  <c r="C52" i="30"/>
  <c r="C51" i="30"/>
  <c r="B51" i="30"/>
  <c r="C50" i="30"/>
  <c r="C49" i="30"/>
  <c r="B49" i="30"/>
  <c r="C48" i="30"/>
  <c r="B48" i="30"/>
  <c r="C47" i="30"/>
  <c r="B47" i="30"/>
  <c r="C46" i="30"/>
  <c r="B46" i="30"/>
  <c r="C45" i="30"/>
  <c r="B45" i="30"/>
  <c r="C44" i="30"/>
  <c r="B44" i="30"/>
  <c r="C43" i="30"/>
  <c r="C42" i="30"/>
  <c r="B42" i="30"/>
  <c r="C41" i="30"/>
  <c r="B41" i="30"/>
  <c r="C40" i="30"/>
  <c r="B40" i="30"/>
  <c r="C39" i="30"/>
  <c r="B39" i="30"/>
  <c r="C38" i="30"/>
  <c r="B38" i="30"/>
  <c r="C37" i="30"/>
  <c r="B37" i="30"/>
  <c r="C36" i="30"/>
  <c r="C35" i="30"/>
  <c r="B35" i="30"/>
  <c r="C34" i="30"/>
  <c r="B34" i="30"/>
  <c r="C33" i="30"/>
  <c r="B33" i="30"/>
  <c r="C32" i="30"/>
  <c r="B32" i="30"/>
  <c r="C31" i="30"/>
  <c r="B31" i="30"/>
  <c r="C30" i="30"/>
  <c r="B30" i="30"/>
  <c r="C29" i="30"/>
  <c r="B29" i="30"/>
  <c r="C28" i="30"/>
  <c r="C27" i="30"/>
  <c r="B27" i="30"/>
  <c r="C26" i="30"/>
  <c r="B26" i="30"/>
  <c r="C25" i="30"/>
  <c r="B25" i="30"/>
  <c r="C24" i="30"/>
  <c r="B24" i="30"/>
  <c r="C23" i="30"/>
  <c r="B23" i="30"/>
  <c r="C22" i="30"/>
  <c r="C21" i="30"/>
  <c r="B21" i="30"/>
  <c r="C20" i="30"/>
  <c r="B20" i="30"/>
  <c r="C19" i="30"/>
  <c r="B19" i="30"/>
  <c r="C18" i="30"/>
  <c r="B18" i="30"/>
  <c r="C17" i="30"/>
  <c r="A17" i="30"/>
  <c r="B16" i="30"/>
  <c r="B15" i="30"/>
  <c r="C14" i="30"/>
  <c r="B14" i="30"/>
  <c r="C13" i="30"/>
  <c r="A13" i="30"/>
  <c r="C12" i="30"/>
  <c r="B12" i="30"/>
  <c r="C11" i="30"/>
  <c r="A11" i="30"/>
  <c r="C10" i="30"/>
  <c r="C9" i="30"/>
  <c r="B9" i="30"/>
  <c r="C8" i="30"/>
  <c r="C7" i="30"/>
  <c r="M33" i="30" l="1"/>
  <c r="E33" i="30" s="1"/>
  <c r="M35" i="30"/>
  <c r="E35" i="30" s="1"/>
  <c r="M25" i="30"/>
  <c r="E25" i="30" s="1"/>
  <c r="M45" i="30"/>
  <c r="E45" i="30" s="1"/>
  <c r="M26" i="30"/>
  <c r="E26" i="30" s="1"/>
  <c r="M17" i="30"/>
  <c r="E17" i="30" s="1"/>
  <c r="M58" i="30"/>
  <c r="C58" i="30" s="1"/>
  <c r="M39" i="30"/>
  <c r="E39" i="30" s="1"/>
  <c r="M8" i="30"/>
  <c r="E8" i="30" s="1"/>
  <c r="M54" i="30"/>
  <c r="E54" i="30" s="1"/>
  <c r="M59" i="30"/>
  <c r="C59" i="30" s="1"/>
  <c r="M38" i="30"/>
  <c r="E38" i="30" s="1"/>
  <c r="M48" i="30"/>
  <c r="E48" i="30" s="1"/>
  <c r="M49" i="30"/>
  <c r="E49" i="30" s="1"/>
  <c r="B32" i="1"/>
  <c r="G8" i="30"/>
  <c r="G11" i="30"/>
  <c r="G13" i="30"/>
  <c r="G17" i="30"/>
  <c r="G22" i="30"/>
  <c r="G28" i="30"/>
  <c r="G36" i="30"/>
  <c r="G43" i="30"/>
  <c r="G50" i="30"/>
  <c r="G52" i="30"/>
  <c r="G54" i="30"/>
  <c r="M28" i="30" l="1"/>
  <c r="E28" i="30" s="1"/>
  <c r="M9" i="30"/>
  <c r="E9" i="30" s="1"/>
  <c r="M52" i="30"/>
  <c r="E52" i="30" s="1"/>
  <c r="M53" i="30"/>
  <c r="E53" i="30" s="1"/>
  <c r="M29" i="30"/>
  <c r="E29" i="30" s="1"/>
  <c r="M50" i="30"/>
  <c r="E50" i="30" s="1"/>
  <c r="M51" i="30"/>
  <c r="E51" i="30" s="1"/>
  <c r="M11" i="30"/>
  <c r="E11" i="30" s="1"/>
  <c r="M12" i="30"/>
  <c r="E12" i="30" s="1"/>
  <c r="M43" i="30"/>
  <c r="E43" i="30" s="1"/>
  <c r="M44" i="30"/>
  <c r="E44" i="30" s="1"/>
  <c r="G10" i="30"/>
  <c r="J60" i="30" s="1"/>
  <c r="H10" i="5"/>
  <c r="F22" i="2"/>
  <c r="M36" i="30" l="1"/>
  <c r="E36" i="30" s="1"/>
  <c r="M37" i="30"/>
  <c r="E37" i="30" s="1"/>
  <c r="M22" i="30"/>
  <c r="E22" i="30" s="1"/>
  <c r="M23" i="30"/>
  <c r="E23" i="30" s="1"/>
  <c r="H42" i="3"/>
  <c r="M63" i="30" l="1"/>
  <c r="J63" i="30" s="1"/>
  <c r="M57" i="30"/>
  <c r="J57" i="30" s="1"/>
  <c r="C57" i="30" s="1"/>
  <c r="M14" i="30"/>
  <c r="E14" i="30" s="1"/>
  <c r="H25" i="5"/>
  <c r="M13" i="30" l="1"/>
  <c r="E13" i="30" s="1"/>
  <c r="G59" i="30"/>
  <c r="G60" i="30"/>
  <c r="H74" i="3"/>
  <c r="H72" i="3"/>
  <c r="H34" i="3"/>
  <c r="H27" i="3"/>
  <c r="H84" i="5"/>
  <c r="H81" i="5"/>
  <c r="H73" i="5"/>
  <c r="H68" i="5"/>
  <c r="M10" i="30" l="1"/>
  <c r="E10" i="30" s="1"/>
  <c r="G61" i="30"/>
  <c r="C63" i="30" s="1"/>
  <c r="F19" i="16"/>
  <c r="M60" i="30" l="1"/>
  <c r="E60" i="30" s="1"/>
  <c r="C32" i="1"/>
  <c r="D32" i="1"/>
  <c r="C12" i="1" s="1"/>
  <c r="F23" i="16"/>
  <c r="F13" i="16"/>
  <c r="F14" i="16"/>
  <c r="F12" i="16"/>
  <c r="M61" i="30" l="1"/>
  <c r="E61" i="30" s="1"/>
  <c r="M62" i="30"/>
  <c r="C62" i="30" s="1"/>
  <c r="J62" i="30" s="1"/>
  <c r="C64" i="30" s="1"/>
  <c r="D12" i="1" s="1"/>
  <c r="H44" i="5"/>
  <c r="H20" i="5"/>
  <c r="H21" i="5"/>
  <c r="H7" i="5"/>
  <c r="H6" i="5"/>
  <c r="H78" i="3"/>
  <c r="H79" i="3" s="1"/>
  <c r="H61" i="3"/>
  <c r="H59" i="3"/>
  <c r="H18" i="3"/>
  <c r="F46" i="2"/>
  <c r="F45" i="2"/>
  <c r="F32" i="2"/>
  <c r="F27" i="2"/>
  <c r="F14" i="2"/>
  <c r="F13" i="2"/>
  <c r="F12" i="2"/>
  <c r="F11" i="2"/>
  <c r="F16" i="2" s="1"/>
  <c r="H51" i="3" l="1"/>
  <c r="F27" i="16" l="1"/>
  <c r="F28" i="16"/>
  <c r="H76" i="5"/>
  <c r="H56" i="5"/>
  <c r="H46" i="5"/>
  <c r="H45" i="5"/>
  <c r="H43" i="5"/>
  <c r="H48" i="3"/>
  <c r="H57" i="3" l="1"/>
  <c r="F45" i="16"/>
  <c r="F44" i="16"/>
  <c r="F40" i="16"/>
  <c r="F39" i="16"/>
  <c r="F36" i="16"/>
  <c r="F29" i="16"/>
  <c r="F30" i="16" s="1"/>
  <c r="F24" i="16"/>
  <c r="F22" i="16"/>
  <c r="F25" i="16" s="1"/>
  <c r="F5" i="16"/>
  <c r="F9" i="16"/>
  <c r="F50" i="16"/>
  <c r="F49" i="16"/>
  <c r="F47" i="16" s="1"/>
  <c r="F41" i="16" l="1"/>
  <c r="F10" i="16"/>
  <c r="F46" i="16"/>
  <c r="F31" i="16"/>
  <c r="D29" i="1" s="1"/>
  <c r="F20" i="16"/>
  <c r="D28" i="1" s="1"/>
  <c r="F15" i="16"/>
  <c r="F3" i="16" s="1"/>
  <c r="F2" i="16" l="1"/>
  <c r="C11" i="1" s="1"/>
  <c r="D27" i="1"/>
  <c r="H87" i="5" l="1"/>
  <c r="H77" i="5"/>
  <c r="H74" i="5"/>
  <c r="H65" i="5"/>
  <c r="H64" i="5"/>
  <c r="H57" i="5"/>
  <c r="H53" i="5"/>
  <c r="H47" i="5"/>
  <c r="H12" i="5"/>
  <c r="H8" i="5"/>
  <c r="H29" i="5"/>
  <c r="H34" i="5"/>
  <c r="H39" i="5"/>
  <c r="H91" i="5"/>
  <c r="H90" i="5"/>
  <c r="H88" i="5" l="1"/>
  <c r="D26" i="1"/>
  <c r="H40" i="5"/>
  <c r="D25" i="1" s="1"/>
  <c r="H3" i="5"/>
  <c r="H2" i="5" l="1"/>
  <c r="C10" i="1" s="1"/>
  <c r="D24" i="1"/>
  <c r="H16" i="3"/>
  <c r="H25" i="3"/>
  <c r="H29" i="3"/>
  <c r="H62" i="3"/>
  <c r="H68" i="3"/>
  <c r="H30" i="3" s="1"/>
  <c r="H76" i="3"/>
  <c r="H83" i="3"/>
  <c r="H82" i="3"/>
  <c r="H69" i="3" l="1"/>
  <c r="D23" i="1" s="1"/>
  <c r="D22" i="1"/>
  <c r="H80" i="3"/>
  <c r="H3" i="3"/>
  <c r="I34" i="2"/>
  <c r="I33" i="2"/>
  <c r="I32" i="2"/>
  <c r="F6" i="2"/>
  <c r="F7" i="2"/>
  <c r="F19" i="2"/>
  <c r="F20" i="2" s="1"/>
  <c r="F23" i="2"/>
  <c r="F69" i="2"/>
  <c r="F68" i="2"/>
  <c r="F64" i="2"/>
  <c r="F63" i="2"/>
  <c r="F59" i="2"/>
  <c r="F58" i="2"/>
  <c r="F50" i="2"/>
  <c r="F53" i="2" s="1"/>
  <c r="F44" i="2"/>
  <c r="F43" i="2"/>
  <c r="F47" i="2" s="1"/>
  <c r="F39" i="2"/>
  <c r="J34" i="2" l="1"/>
  <c r="F34" i="2"/>
  <c r="F35" i="2" s="1"/>
  <c r="D21" i="1"/>
  <c r="H2" i="3"/>
  <c r="C9" i="1" s="1"/>
  <c r="D9" i="1" s="1"/>
  <c r="F66" i="2"/>
  <c r="F8" i="2"/>
  <c r="F3" i="2" s="1"/>
  <c r="J32" i="2"/>
  <c r="F65" i="2"/>
  <c r="F60" i="2"/>
  <c r="F54" i="2" l="1"/>
  <c r="D20" i="1" s="1"/>
  <c r="D18" i="1"/>
  <c r="F28" i="2"/>
  <c r="D19" i="1" s="1"/>
  <c r="F2" i="2" l="1"/>
  <c r="C8" i="1" s="1"/>
  <c r="D8" i="1" s="1"/>
  <c r="C13" i="1" l="1"/>
</calcChain>
</file>

<file path=xl/sharedStrings.xml><?xml version="1.0" encoding="utf-8"?>
<sst xmlns="http://schemas.openxmlformats.org/spreadsheetml/2006/main" count="934" uniqueCount="509">
  <si>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</si>
  <si>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</si>
  <si>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</si>
  <si>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</si>
  <si>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</si>
  <si>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</si>
  <si>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</si>
  <si>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</si>
  <si>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</si>
  <si>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</si>
  <si>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</si>
  <si>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</si>
  <si>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</si>
  <si>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</si>
  <si>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</si>
  <si>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</si>
  <si>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</si>
  <si>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</si>
  <si>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</si>
  <si>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GM 2021 ScoreCard</t>
  </si>
  <si>
    <t>GM Ref No.</t>
  </si>
  <si>
    <t>Project Name:</t>
  </si>
  <si>
    <t>Revision:</t>
  </si>
  <si>
    <t>SUMMARY</t>
  </si>
  <si>
    <t>MAX POINTS</t>
  </si>
  <si>
    <t>SCORING POINTS</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</si>
  <si>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</si>
  <si>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</si>
  <si>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</si>
  <si>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</si>
  <si>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</si>
  <si>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</si>
  <si>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</si>
  <si>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</si>
  <si>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</si>
  <si>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</si>
  <si>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</si>
  <si>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</si>
  <si>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</si>
  <si>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</si>
  <si>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</si>
  <si>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</si>
  <si>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</si>
  <si>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</si>
  <si>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</si>
  <si>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</si>
  <si>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</si>
  <si>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</si>
  <si>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</si>
  <si>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</si>
  <si>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</si>
  <si>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</si>
  <si>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</si>
  <si>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</si>
  <si>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</si>
  <si>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</si>
  <si>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</si>
  <si>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</si>
  <si>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Maintainability (MiDAS)</t>
  </si>
  <si>
    <t>Max Maintainability Points</t>
  </si>
  <si>
    <t>MAINTAINABILITY POINTS SCORED</t>
  </si>
  <si>
    <t>CORRESPONDING GM SCORE</t>
  </si>
  <si>
    <t>CRITERIA FOR ENERGY EFFICIENCY SECTION</t>
  </si>
  <si>
    <t>Data Input</t>
  </si>
  <si>
    <t>Input Required</t>
  </si>
  <si>
    <t>ENERGY EFFICIENCY</t>
  </si>
  <si>
    <t>Building supplied by District Cooling System?</t>
  </si>
  <si>
    <t>Y/N</t>
  </si>
  <si>
    <t>Input (#)</t>
  </si>
  <si>
    <t>PATHWAY 2 - FIXED METRICS</t>
  </si>
  <si>
    <t>(i)</t>
  </si>
  <si>
    <t>(ii)</t>
  </si>
  <si>
    <t>Input (%)</t>
  </si>
  <si>
    <t>(iii)</t>
  </si>
  <si>
    <t>Single Phase (no. of ticks)</t>
  </si>
  <si>
    <t>(iv)</t>
  </si>
  <si>
    <t>Lighting Power Budget</t>
  </si>
  <si>
    <t>(v)</t>
  </si>
  <si>
    <t xml:space="preserve">Mechanical Ventilation </t>
  </si>
  <si>
    <t>(vi)</t>
  </si>
  <si>
    <t>(vii)</t>
  </si>
  <si>
    <r>
      <t xml:space="preserve">On-Site Renewables - </t>
    </r>
    <r>
      <rPr>
        <i/>
        <sz val="12"/>
        <color theme="1"/>
        <rFont val="Calibri"/>
        <family val="2"/>
        <scheme val="minor"/>
      </rPr>
      <t>replacement to make up any deficiencies from the above list, with safety factor</t>
    </r>
  </si>
  <si>
    <t>(viii)</t>
  </si>
  <si>
    <t>CRITERIA FOR RESILIENCE SECTION</t>
  </si>
  <si>
    <t>Available points for Existing Buildings</t>
  </si>
  <si>
    <t>Points Scored</t>
  </si>
  <si>
    <t>Remarks</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</si>
  <si>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</si>
  <si>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</si>
  <si>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</si>
  <si>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</si>
  <si>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</si>
  <si>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</si>
  <si>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</si>
  <si>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</si>
  <si>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</si>
  <si>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</si>
  <si>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</si>
  <si>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</si>
  <si>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</si>
  <si>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</si>
  <si>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</si>
  <si>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b) Water Management Policy and Water Improvement Plan</t>
  </si>
  <si>
    <t>c) Waste Management Policy &amp; 3R Plan</t>
  </si>
  <si>
    <t>a) Achieved PUB Water Efficient Building certification?  
OR 
b) PUB WELS 3-ticks rating for 90% of all relevant water fittings.</t>
  </si>
  <si>
    <t>0.5 point for (a)
1 point for (b)</t>
  </si>
  <si>
    <t>SUB-TOTAL FOR RE 1.1 b (Max 3 points)</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</si>
  <si>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</si>
  <si>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</si>
  <si>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</si>
  <si>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</si>
  <si>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</si>
  <si>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</si>
  <si>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</si>
  <si>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</si>
  <si>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</si>
  <si>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</si>
  <si>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</si>
  <si>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</si>
  <si>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</si>
  <si>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</si>
  <si>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</si>
  <si>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</si>
  <si>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N.A.</t>
  </si>
  <si>
    <t xml:space="preserve">SUB-TOTAL FOR RE 1.3 </t>
  </si>
  <si>
    <t>RE2</t>
  </si>
  <si>
    <t>MANAGE</t>
  </si>
  <si>
    <t>RE2.1</t>
  </si>
  <si>
    <t>Leadership</t>
  </si>
  <si>
    <t>RE2.1a</t>
  </si>
  <si>
    <t>Project Team</t>
  </si>
  <si>
    <t>Appointment of accredited environmentalist specialists to drive and coordinate the environmental design approach.</t>
  </si>
  <si>
    <t>Sub-total</t>
  </si>
  <si>
    <t>No. of Certified GM AP</t>
  </si>
  <si>
    <t>0.5 pts/GM AP &amp; 0.5 pts /GM AAP 
(Capped at 1 pt)</t>
  </si>
  <si>
    <t>Max 0.5 pt</t>
  </si>
  <si>
    <t>No. of Certified GM AAP</t>
  </si>
  <si>
    <t>No. of firms certified under SGBC's SGBS certification or SIFMA's CFMC accreditation scheme.</t>
  </si>
  <si>
    <t>0.25 pts/firm 
(Capped at 0.5 pts)</t>
  </si>
  <si>
    <t>SUB-TOTAL FOR RE 2.1 a (Max 1 point)</t>
  </si>
  <si>
    <t>RE2.1b</t>
  </si>
  <si>
    <t>Procurement</t>
  </si>
  <si>
    <r>
      <t xml:space="preserve">Adoption of Sustainable or Green Procurement Policy for:-
- </t>
    </r>
    <r>
      <rPr>
        <b/>
        <sz val="12"/>
        <color theme="1"/>
        <rFont val="Calibri"/>
        <family val="2"/>
        <scheme val="minor"/>
      </rPr>
      <t>Existing Residential Buildings i.e. MCST's procurement of replaced systems for common areas and AGN venues.</t>
    </r>
  </si>
  <si>
    <t>Adoption of Energy Performance Contract (EPC) by accredited EPC firm</t>
  </si>
  <si>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</si>
  <si>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</si>
  <si>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</si>
  <si>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</si>
  <si>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</si>
  <si>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</si>
  <si>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0.5 point</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</si>
  <si>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</si>
  <si>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</si>
  <si>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</si>
  <si>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</si>
  <si>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</si>
  <si>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</si>
  <si>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</si>
  <si>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</si>
  <si>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</si>
  <si>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</si>
  <si>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t>SUB-TOTAL FOR RE 2.3</t>
  </si>
  <si>
    <t>RE3</t>
  </si>
  <si>
    <t>RESTORE</t>
  </si>
  <si>
    <t>RE3.1</t>
  </si>
  <si>
    <t>Buildings In Nature</t>
  </si>
  <si>
    <t>Improving the ecology and quality of the natural environment on site through well-considered planting strategy.</t>
  </si>
  <si>
    <t>Greenery provision (GnPR shall be &gt;3 for Existing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</si>
  <si>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</si>
  <si>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</si>
  <si>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</si>
  <si>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</si>
  <si>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</si>
  <si>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</si>
  <si>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</si>
  <si>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</si>
  <si>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</si>
  <si>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</si>
  <si>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</si>
  <si>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</si>
  <si>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</si>
  <si>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Criteria RE 2.2 - Pushing the boundary of the circularity agenda by adopting innovative solutions/technologies to closing the resource loops and achieving zero waste.</t>
    </r>
  </si>
  <si>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</si>
  <si>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</si>
  <si>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</si>
  <si>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</si>
  <si>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</si>
  <si>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</si>
  <si>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</si>
  <si>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</si>
  <si>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Whole Life carbon assessment consistent with EN 15978  and EN 15804</t>
  </si>
  <si>
    <t>CN1.1a</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</si>
  <si>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</si>
  <si>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</si>
  <si>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</si>
  <si>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</si>
  <si>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</si>
  <si>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</si>
  <si>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</si>
  <si>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</si>
  <si>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</si>
  <si>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</si>
  <si>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</si>
  <si>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</si>
  <si>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SUB-TOTAL FOR CN 1.1a</t>
  </si>
  <si>
    <t>CN1.1b</t>
  </si>
  <si>
    <t>Embodied Carbon Computation</t>
  </si>
  <si>
    <t xml:space="preserve">(i) </t>
  </si>
  <si>
    <t>Input (#) kg CO2e/m2</t>
  </si>
  <si>
    <t xml:space="preserve">(ii) </t>
  </si>
  <si>
    <t>(a) &gt;10% Reduction from the reference embodied carbon (for Concrete, Glass and Steel)
(b) &gt;30% Reduction from the reference embodied carbon (for Concrete, Glass and Steel)</t>
  </si>
  <si>
    <t>Reference Values
(kgCO2e/m2)</t>
  </si>
  <si>
    <t>Non-Residential</t>
  </si>
  <si>
    <t>Residential</t>
  </si>
  <si>
    <t>Industrial</t>
  </si>
  <si>
    <t>(Reference values based on A1-A4 emissions for superstructure)</t>
  </si>
  <si>
    <t>SUB-TOTAL FOR CN 1.1b</t>
  </si>
  <si>
    <t>CN1.2</t>
  </si>
  <si>
    <t>2030 Transition Plan</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</si>
  <si>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</si>
  <si>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</si>
  <si>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</si>
  <si>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</si>
  <si>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</si>
  <si>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</si>
  <si>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</si>
  <si>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</si>
  <si>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</si>
  <si>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</si>
  <si>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</si>
  <si>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</si>
  <si>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</si>
  <si>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</si>
  <si>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</si>
  <si>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</si>
  <si>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</si>
  <si>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</si>
  <si>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</si>
  <si>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</si>
  <si>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</si>
  <si>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0.25 points / tick</t>
  </si>
  <si>
    <r>
      <t xml:space="preserve">Replacement of aggregates
</t>
    </r>
    <r>
      <rPr>
        <sz val="12"/>
        <color theme="1"/>
        <rFont val="Calibri"/>
        <family val="2"/>
        <scheme val="minor"/>
      </rPr>
      <t xml:space="preserve">Replacement of coarse and fine aggregates for structural concrete applications [by mass of RCA, WCS, granite fines (GF)] must meet both minimum requirements in terms of </t>
    </r>
    <r>
      <rPr>
        <u/>
        <sz val="12"/>
        <color theme="1"/>
        <rFont val="Calibri"/>
        <family val="2"/>
        <scheme val="minor"/>
      </rPr>
      <t>extent of usage</t>
    </r>
    <r>
      <rPr>
        <sz val="12"/>
        <color theme="1"/>
        <rFont val="Calibri"/>
        <family val="2"/>
        <scheme val="minor"/>
      </rPr>
      <t xml:space="preserve"> and </t>
    </r>
    <r>
      <rPr>
        <u/>
        <sz val="12"/>
        <color theme="1"/>
        <rFont val="Calibri"/>
        <family val="2"/>
        <scheme val="minor"/>
      </rPr>
      <t>replacement levels</t>
    </r>
  </si>
  <si>
    <t>Capped at 1 point</t>
  </si>
  <si>
    <r>
      <t>Total concrete use for superstructure (m</t>
    </r>
    <r>
      <rPr>
        <vertAlign val="superscript"/>
        <sz val="12"/>
        <color theme="1"/>
        <rFont val="Calibri"/>
        <family val="2"/>
        <scheme val="minor"/>
      </rPr>
      <t>3</t>
    </r>
    <r>
      <rPr>
        <sz val="12"/>
        <color theme="1"/>
        <rFont val="Calibri"/>
        <family val="2"/>
        <scheme val="minor"/>
      </rPr>
      <t>)</t>
    </r>
  </si>
  <si>
    <r>
      <t xml:space="preserve">Replacement level of coarse aggregate with RCA </t>
    </r>
    <r>
      <rPr>
        <sz val="12"/>
        <color theme="1"/>
        <rFont val="Calibri"/>
        <family val="2"/>
      </rPr>
      <t>≥ 20%</t>
    </r>
  </si>
  <si>
    <t>0.5 points</t>
  </si>
  <si>
    <t>Minimum extent of usage of RCA ≥ 1.5% of GFA</t>
  </si>
  <si>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</si>
  <si>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</si>
  <si>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</si>
  <si>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</si>
  <si>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</si>
  <si>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</si>
  <si>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</si>
  <si>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</si>
  <si>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3 points</t>
  </si>
  <si>
    <t>SUB-TOTAL FOR CN 2.2</t>
  </si>
  <si>
    <t>CN2.3</t>
  </si>
  <si>
    <t>Conservation, Resource Recovery and Waste Management</t>
  </si>
  <si>
    <t>Existing structures are conserved and not demolished</t>
  </si>
  <si>
    <t>Existing structures are demolished with an enhanced demolition protocol, where a recovery ratte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</si>
  <si>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</si>
  <si>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</si>
  <si>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</si>
  <si>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</si>
  <si>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</si>
  <si>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</si>
  <si>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</si>
  <si>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</si>
  <si>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SUB-TOTAL FOR CN 3.1</t>
  </si>
  <si>
    <t>CN3.2</t>
  </si>
  <si>
    <t>Fit Out Products</t>
  </si>
  <si>
    <r>
      <t xml:space="preserve">≥ 80% (by cost or area) of the fit-out materials used (construction and finishes) for </t>
    </r>
    <r>
      <rPr>
        <b/>
        <sz val="12"/>
        <color theme="1"/>
        <rFont val="Calibri"/>
        <family val="2"/>
        <scheme val="minor"/>
      </rPr>
      <t>common areas</t>
    </r>
    <r>
      <rPr>
        <sz val="12"/>
        <color theme="1"/>
        <rFont val="Calibri"/>
        <family val="2"/>
        <scheme val="minor"/>
      </rPr>
      <t xml:space="preserve"> (i.e. non-tenanted spaces) shall be at least SGBP 2 ticks or equivalent administered by local  certification bodies</t>
    </r>
  </si>
  <si>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</si>
  <si>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</si>
  <si>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</si>
  <si>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</si>
  <si>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(e.g. MCST) offset their common areas operational energy through the procurement of renewables, or through the ongoing purchase of certified carbon offsets.
(a) ≥ 30% of common areas consumption
(b) ≥ 60% of common areas consumption
(c) ≥ 90% of common areas consumption</t>
  </si>
  <si>
    <t xml:space="preserve">1 point for (a)
2 points for (b)
3 points for (c)  </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</si>
  <si>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</si>
  <si>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</si>
  <si>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</si>
  <si>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</si>
  <si>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</si>
  <si>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</si>
  <si>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</si>
  <si>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</si>
  <si>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</si>
  <si>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</si>
  <si>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</si>
  <si>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r>
      <rPr>
        <b/>
        <sz val="12"/>
        <color theme="1"/>
        <rFont val="Calibri"/>
        <family val="2"/>
        <scheme val="minor"/>
      </rPr>
      <t xml:space="preserve">Safe Access for Active Mobility </t>
    </r>
    <r>
      <rPr>
        <sz val="12"/>
        <color theme="1"/>
        <rFont val="Calibri"/>
        <family val="2"/>
        <scheme val="minor"/>
      </rPr>
      <t xml:space="preserve">
Provision of safe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</si>
  <si>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 </t>
    </r>
  </si>
  <si>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</si>
  <si>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</si>
  <si>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</si>
  <si>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For residential buildings the common staircases shall be designed to encourage their use through attractive wayfinding and design including stair finishes, use of colour and lighting and finishes.
</t>
    </r>
    <r>
      <rPr>
        <sz val="12"/>
        <color theme="1"/>
        <rFont val="Calibri"/>
        <family val="2"/>
        <scheme val="minor"/>
      </rPr>
      <t>(a) at least 10 floors, including basement(s) and ground floor
(b) all floors</t>
    </r>
  </si>
  <si>
    <t>A/B</t>
  </si>
  <si>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</si>
  <si>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</si>
  <si>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</si>
  <si>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</si>
  <si>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</si>
  <si>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</si>
  <si>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</si>
  <si>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</si>
  <si>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</si>
  <si>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</si>
  <si>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</si>
  <si>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</si>
  <si>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</si>
  <si>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r>
      <t xml:space="preserve">at least 80% of common areas with acceptable material finishes
</t>
    </r>
    <r>
      <rPr>
        <i/>
        <sz val="10"/>
        <color theme="1"/>
        <rFont val="Calibri"/>
        <family val="2"/>
        <scheme val="minor"/>
      </rPr>
      <t>*includes lettable areas for non-residential developments and dwelling units for residential developments</t>
    </r>
  </si>
  <si>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</si>
  <si>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</si>
  <si>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</si>
  <si>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</si>
  <si>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</si>
  <si>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</si>
  <si>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r>
      <t>Control zones should not exceed 100m</t>
    </r>
    <r>
      <rPr>
        <vertAlign val="superscript"/>
        <sz val="12"/>
        <color theme="1"/>
        <rFont val="Calibri"/>
        <family val="2"/>
        <scheme val="minor"/>
      </rPr>
      <t>2</t>
    </r>
  </si>
  <si>
    <t>Controls should provide the logic to modify the operation of the VAV box, FCU, Passive Displacement System coil temperature, Ceiling fan speed or other system employed, which will adjust thermal comfort in that zone.</t>
  </si>
  <si>
    <t>The strategies cover 
(a) at least 50% of regularly occupied functional spaces
(b) at least 90% of regularly occupied functional spaces</t>
  </si>
  <si>
    <r>
      <rPr>
        <u/>
        <sz val="12"/>
        <color theme="1"/>
        <rFont val="Calibri"/>
        <family val="2"/>
        <scheme val="minor"/>
      </rPr>
      <t>Residential Buildings and Non Residential non Air-Conditioned functional spaces.</t>
    </r>
    <r>
      <rPr>
        <sz val="12"/>
        <color theme="1"/>
        <rFont val="Calibri"/>
        <family val="2"/>
        <scheme val="minor"/>
      </rPr>
      <t xml:space="preserve">
A. Thermal comfort simulation: -0.5&lt;PMV&lt;0.5
B. Effective cross ventilation 70% of habitable areas to meet the following
     • Area weighted average wind velocity of 0.6m/s OR
C. Prescriptive performance in table HW1.3
</t>
    </r>
    <r>
      <rPr>
        <i/>
        <sz val="11"/>
        <color theme="1"/>
        <rFont val="Calibri"/>
        <family val="2"/>
        <scheme val="minor"/>
      </rPr>
      <t>For draft sensitive sports spaces, or industrial buildings with occupancy densities less than 50m</t>
    </r>
    <r>
      <rPr>
        <i/>
        <vertAlign val="superscript"/>
        <sz val="11"/>
        <color theme="1"/>
        <rFont val="Calibri"/>
        <family val="2"/>
        <scheme val="minor"/>
      </rPr>
      <t>2</t>
    </r>
    <r>
      <rPr>
        <i/>
        <sz val="11"/>
        <color theme="1"/>
        <rFont val="Calibri"/>
        <family val="2"/>
        <scheme val="minor"/>
      </rPr>
      <t xml:space="preserve"> per person, projects can meet the following requirements in leu of a) and b):
• Air Change rate </t>
    </r>
    <r>
      <rPr>
        <sz val="11"/>
        <color theme="1"/>
        <rFont val="Calibri"/>
        <family val="2"/>
      </rPr>
      <t>≥</t>
    </r>
    <r>
      <rPr>
        <i/>
        <sz val="11"/>
        <color theme="1"/>
        <rFont val="Calibri"/>
        <family val="2"/>
        <scheme val="minor"/>
      </rPr>
      <t xml:space="preserve"> 10
• Air Change Effectiveness ≥ 1.2</t>
    </r>
  </si>
  <si>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</si>
  <si>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</si>
  <si>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</si>
  <si>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</si>
  <si>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</si>
  <si>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</si>
  <si>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</si>
  <si>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</si>
  <si>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</si>
  <si>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</si>
  <si>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</si>
  <si>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r>
      <rPr>
        <b/>
        <sz val="12"/>
        <color theme="1"/>
        <rFont val="Calibri"/>
        <family val="2"/>
        <scheme val="minor"/>
      </rPr>
      <t>Designated Smoking Points</t>
    </r>
    <r>
      <rPr>
        <sz val="12"/>
        <color theme="1"/>
        <rFont val="Calibri"/>
        <family val="2"/>
        <scheme val="minor"/>
      </rPr>
      <t xml:space="preserve">
Provide Designated Smoking Points for smokers to use, to allow non-smokers to utilise outdoor spaces in a healthy manner.</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</si>
  <si>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</si>
  <si>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</si>
  <si>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</si>
  <si>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</si>
  <si>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</si>
  <si>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</si>
  <si>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</si>
  <si>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</si>
  <si>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</si>
  <si>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</si>
  <si>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</si>
  <si>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</si>
  <si>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</si>
  <si>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</si>
  <si>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t>
    </r>
  </si>
  <si>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</si>
  <si>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r>
      <rPr>
        <b/>
        <sz val="12"/>
        <color theme="1"/>
        <rFont val="Calibri"/>
        <family val="2"/>
        <scheme val="minor"/>
      </rPr>
      <t>Circadian Lighting System</t>
    </r>
    <r>
      <rPr>
        <sz val="12"/>
        <color theme="1"/>
        <rFont val="Calibri"/>
        <family val="2"/>
        <scheme val="minor"/>
      </rPr>
      <t xml:space="preserve">
Provision of dynamic lighting system
(A) for Task Lighting
(B) for All Lighting</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</si>
  <si>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</si>
  <si>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</si>
  <si>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</si>
  <si>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</si>
  <si>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</si>
  <si>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</si>
  <si>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</si>
  <si>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</si>
  <si>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</si>
  <si>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</si>
  <si>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</si>
  <si>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r>
      <rPr>
        <b/>
        <sz val="12"/>
        <color theme="1"/>
        <rFont val="Calibri"/>
        <family val="2"/>
        <scheme val="minor"/>
      </rPr>
      <t>Noise from external Noise Sources</t>
    </r>
    <r>
      <rPr>
        <sz val="12"/>
        <color theme="1"/>
        <rFont val="Calibri"/>
        <family val="2"/>
        <scheme val="minor"/>
      </rPr>
      <t xml:space="preserve"> (i.e. Land Traffic)
Applies to internal noise levels for closed façade condition only
(i.e. all normally operable windows and doors to outside are closed)
Internal noise levels to comply with SS553 Amendment 1 noise criteria, otherwise per AS2107:2016, BB93 or HTM08-01</t>
    </r>
  </si>
  <si>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</si>
  <si>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</si>
  <si>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</si>
  <si>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</si>
  <si>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</si>
  <si>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</si>
  <si>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</si>
  <si>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t>Sub-Total for HW3.1</t>
  </si>
  <si>
    <t>HW3.2</t>
  </si>
  <si>
    <t>Communal Spaces</t>
  </si>
  <si>
    <t>HW3.2a</t>
  </si>
  <si>
    <r>
      <rPr>
        <b/>
        <sz val="12"/>
        <color theme="1"/>
        <rFont val="Calibri"/>
        <family val="2"/>
        <scheme val="minor"/>
      </rPr>
      <t>Restorative and community Spaces</t>
    </r>
    <r>
      <rPr>
        <sz val="11"/>
        <color theme="1"/>
        <rFont val="Calibri"/>
        <family val="2"/>
        <scheme val="minor"/>
      </rPr>
      <t xml:space="preserve">
</t>
    </r>
  </si>
  <si>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</si>
  <si>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</si>
  <si>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</si>
  <si>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</si>
  <si>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</si>
  <si>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</si>
  <si>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Provision of proper and reasonable rest areas for Outsourced workers (e.g. security officers, cleaners) to rest, recuperate, and eat. Refer to the ‘Tripartite Advisory on Provision of Rest Areas for Outsourced Workers’ (Dec 2019):
(i) Locations that afford privacy and provides a pleasant environment and
(ii) Provision of amenities such as tables, chairs, water coolers, lockers.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</si>
  <si>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</si>
  <si>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</si>
  <si>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</si>
  <si>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</si>
  <si>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</si>
  <si>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</si>
  <si>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</si>
  <si>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</si>
  <si>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</si>
  <si>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</si>
  <si>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</si>
  <si>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</si>
  <si>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</si>
  <si>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</si>
  <si>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</si>
  <si>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</si>
  <si>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</si>
  <si>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</si>
  <si>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IN 1</t>
  </si>
  <si>
    <t>IN 1.1</t>
  </si>
  <si>
    <t>Digital Life Cycle</t>
  </si>
  <si>
    <t xml:space="preserve">PIM (example: BIM) developed in accordance with Singapore CDE Data Standard that align with the Principles of ISO 19650-2018 </t>
  </si>
  <si>
    <t xml:space="preserve">Use of spatial model co-ordination platform basing on PIM for spatial analysis including identifying: </t>
  </si>
  <si>
    <t>a. System clashes through an automatic model checking tool</t>
  </si>
  <si>
    <t>b. Spatial analysis for effective construction, maintenance and future alteration or replacement.</t>
  </si>
  <si>
    <t xml:space="preserve">Digital building commissioning, performance and defect co-ordination platform basing on PIM to track, co-ordinate and manage the commissioning of systems and the tracking of defects and their rectification  </t>
  </si>
  <si>
    <t>SUB-TOTAL FOR IN 1.1</t>
  </si>
  <si>
    <t>IN 1.2</t>
  </si>
  <si>
    <t>Performance Dashboard to monitor the different aspect of building assets’ performance and operations from a single dashboard built on top of the CDE.</t>
  </si>
  <si>
    <t xml:space="preserve">Data Management and Integration with a platform that connects and manages asset and facility data, operational data, and real-time equipment data extracted from different sub-systems based on an open protocol </t>
  </si>
  <si>
    <t>Data Accessibility and Security - information stored in the CDE platform can be accessed by facilities teams in a secured manner to facilitate operation and maintenance activities from anywhere and anytime.</t>
  </si>
  <si>
    <t>SUB-TOTAL FOR IN 1.2</t>
  </si>
  <si>
    <t>IN1.3</t>
  </si>
  <si>
    <t>Voluntary Disclosure of Building Energy Performance Data</t>
  </si>
  <si>
    <t xml:space="preserve">Share basic information – follow Common Energy Dashboard data requirements to share basic information and data. </t>
  </si>
  <si>
    <t>Share additional information – follow Common Energy Dashboard data requirements to share additional information and data.</t>
  </si>
  <si>
    <t>SUB-TOTAL FOR IN 1.3</t>
  </si>
  <si>
    <t>IN 2</t>
  </si>
  <si>
    <t>IN 2.1</t>
  </si>
  <si>
    <t>Asset Information Model</t>
  </si>
  <si>
    <t>Development and handover of an accurate spatial model of the building or asset which complete and fully up to date inclusive of renovations that would impact building services or layout alterations.</t>
  </si>
  <si>
    <t>Physical and virtual asset information tagging system aligned with common data environment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</si>
  <si>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</si>
  <si>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</si>
  <si>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</si>
  <si>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Digital Twins</t>
  </si>
  <si>
    <t>Asset Digital Twin – the digital twin of the building asset as a whole to analyse the building performance under various scenarios (design and retrofit as well as adaptation plans) as well as ensure predictive asset management and continuous optimisation of building systems as a whole.</t>
  </si>
  <si>
    <t>System Digital Twin – detailed model based on operational data of individual systems to deep dive into its performance, conduct virtual stress tests and detailed analytics.</t>
  </si>
  <si>
    <t xml:space="preserve">Process Digital Twin – To model processes and scenarios to find the optimum solution based on actual and simulated data. </t>
  </si>
  <si>
    <t>SUB-TOTAL FOR IN 2.2</t>
  </si>
  <si>
    <t>IN 3</t>
  </si>
  <si>
    <t>IN 3.1</t>
  </si>
  <si>
    <t>Real Time Performance</t>
  </si>
  <si>
    <t>Energy - Breakdown of energy consumption by system, such as air conditioning, lighting, ventilation, transportation, receptacle loads.  
Efficiency metrics tracking and analytics for real time optimisation.</t>
  </si>
  <si>
    <t>Health &amp; Comfort – Provision of permanent calibrated air quality monitoring system with zonal controls</t>
  </si>
  <si>
    <t>SUB-TOTAL FOR IN 3.1</t>
  </si>
  <si>
    <t>IN 3.2</t>
  </si>
  <si>
    <t>User Experience</t>
  </si>
  <si>
    <r>
      <t xml:space="preserve">Proactive collection and use of data to understand, track and manage the user experience within the building to improve performance including:
</t>
    </r>
    <r>
      <rPr>
        <sz val="12"/>
        <color theme="1"/>
        <rFont val="Calibri"/>
        <family val="2"/>
      </rPr>
      <t xml:space="preserve">• </t>
    </r>
    <r>
      <rPr>
        <sz val="12"/>
        <color theme="1"/>
        <rFont val="Calibri"/>
        <family val="2"/>
        <scheme val="minor"/>
      </rPr>
      <t>Use patterns.
• Comfort (thermal, visual, aural and olfactory, including locational information)
• Service requests and time for resolutions
For the following groups:</t>
    </r>
  </si>
  <si>
    <t>Building Occupants</t>
  </si>
  <si>
    <t>Visitors</t>
  </si>
  <si>
    <t>SUB-TOTAL FOR IN 3.2</t>
  </si>
  <si>
    <t>IN 3.3</t>
  </si>
  <si>
    <t>Data Ethics</t>
  </si>
  <si>
    <t>A data ethics plan shall be detailed for the building that identifies the various opportunities for the collection, analysis and use of data as well as a risk register that looks at the following risks and how they will be managed and mitigated.</t>
  </si>
  <si>
    <t>• Personal Privacy
• Risks including data governance, monetarisation of data and data permissions</t>
  </si>
  <si>
    <t>• Workforce transitioning
• Transparency 
• Data bias and data quality</t>
  </si>
  <si>
    <t>SUB-TOTAL FOR IN 3.3</t>
  </si>
  <si>
    <t>INTELLIGENCE INNOVATION AND SMART PRODUCT</t>
  </si>
  <si>
    <t>Innovation</t>
  </si>
  <si>
    <r>
      <t xml:space="preserve">Where projects can demonstrate substantial performance to a specific Intelligence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Encourage the Use of Singapore Green Building Council certified smart building products or product with equivalent certification that allows integration with the Common Data Environment (CDE).</t>
    </r>
  </si>
  <si>
    <t>Innovation no. 2:</t>
  </si>
  <si>
    <t>Important Note - Please use embedded Maintainability Section Scoresheet below to generate scoring</t>
  </si>
  <si>
    <t>CRITERIA FOR MAINTAINABILITY SECTION</t>
  </si>
  <si>
    <t>Section 0 - General</t>
  </si>
  <si>
    <t>Section 1 - Architectural Exterior</t>
  </si>
  <si>
    <t>1.5</t>
  </si>
  <si>
    <t>1.6</t>
  </si>
  <si>
    <t>Section 2 - Architectural Interior &amp; Common Areas</t>
  </si>
  <si>
    <t>Section 3 - Mechanical</t>
  </si>
  <si>
    <t>Section 4 - Electrical</t>
  </si>
  <si>
    <t>Section 5 - Landscape</t>
  </si>
  <si>
    <t>Section 6 - Facilities</t>
  </si>
  <si>
    <t>Section 7 - Smart FM</t>
  </si>
  <si>
    <t>Cybersecurity</t>
  </si>
  <si>
    <t>Bonus Points</t>
  </si>
  <si>
    <t>TOTAL Maintainability Section Points Scored</t>
  </si>
  <si>
    <t>Maintainability Prorated Points</t>
  </si>
  <si>
    <t>TOTAL Maintainability Section Points Scored After Pro-rating</t>
  </si>
  <si>
    <t>w/o Bonus</t>
  </si>
  <si>
    <t>w Bonus</t>
  </si>
  <si>
    <t>Total No. of Pre-Requisites Not Complied</t>
  </si>
  <si>
    <t>Total Number of Green Mark 2021 Points</t>
  </si>
  <si>
    <t>Attained Maintainability Badge?</t>
  </si>
  <si>
    <t>GM: 2021 - Existing Residential Buildings</t>
  </si>
  <si>
    <t>Bonus scored</t>
  </si>
  <si>
    <t>Manual input of Points</t>
  </si>
  <si>
    <t>Points Scored from Embedded Scoresheet</t>
  </si>
  <si>
    <t>Available points for New Buildings</t>
  </si>
  <si>
    <r>
      <t xml:space="preserve">Certification through BCA Universal Design Mark
(A) UD Mark Gold </t>
    </r>
    <r>
      <rPr>
        <sz val="12"/>
        <color theme="1"/>
        <rFont val="Calibri"/>
        <family val="2"/>
        <scheme val="minor"/>
      </rPr>
      <t xml:space="preserve">or </t>
    </r>
    <r>
      <rPr>
        <i/>
        <sz val="12"/>
        <color theme="1"/>
        <rFont val="Calibri"/>
        <family val="2"/>
        <scheme val="minor"/>
      </rPr>
      <t>UDi C Rating
(B) UD Mark Gold</t>
    </r>
    <r>
      <rPr>
        <i/>
        <vertAlign val="superscript"/>
        <sz val="12"/>
        <color theme="1"/>
        <rFont val="Calibri"/>
        <family val="2"/>
        <scheme val="minor"/>
      </rPr>
      <t>PLUS</t>
    </r>
    <r>
      <rPr>
        <i/>
        <sz val="12"/>
        <color theme="1"/>
        <rFont val="Calibri"/>
        <family val="2"/>
        <scheme val="minor"/>
      </rPr>
      <t xml:space="preserve"> </t>
    </r>
    <r>
      <rPr>
        <sz val="12"/>
        <color theme="1"/>
        <rFont val="Calibri"/>
        <family val="2"/>
        <scheme val="minor"/>
      </rPr>
      <t xml:space="preserve">or </t>
    </r>
    <r>
      <rPr>
        <i/>
        <sz val="12"/>
        <color theme="1"/>
        <rFont val="Calibri"/>
        <family val="2"/>
        <scheme val="minor"/>
      </rPr>
      <t xml:space="preserve">UDi A </t>
    </r>
    <r>
      <rPr>
        <sz val="12"/>
        <color theme="1"/>
        <rFont val="Calibri"/>
        <family val="2"/>
        <scheme val="minor"/>
      </rPr>
      <t xml:space="preserve">or </t>
    </r>
    <r>
      <rPr>
        <i/>
        <sz val="12"/>
        <color theme="1"/>
        <rFont val="Calibri"/>
        <family val="2"/>
        <scheme val="minor"/>
      </rPr>
      <t>B Rating</t>
    </r>
  </si>
  <si>
    <t>Reduced Heat Gain (RETV)</t>
  </si>
  <si>
    <t>Reason for Certification</t>
  </si>
  <si>
    <r>
      <rPr>
        <b/>
        <sz val="16"/>
        <color rgb="FF7030A0"/>
        <rFont val="Calibri"/>
        <family val="2"/>
        <scheme val="minor"/>
      </rPr>
      <t>1) Please ensure that this excel file is named as Green Mark 2021_Scoresheet (ERB).xlsx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</si>
  <si>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r>
      <rPr>
        <b/>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At Verification (As Built/ In Operation):</t>
    </r>
    <r>
      <rPr>
        <sz val="12"/>
        <color theme="1"/>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   Recognising design for Disassembly/Future adaptability - to facilitate future changes and dismantlement (in part or whole) for recovery of systems, components and materials.
</t>
    </r>
  </si>
  <si>
    <r>
      <t xml:space="preserve">To encourage conservation of existing building structure, recovery of demolished building materials for reuse and/or recycling and waste management
</t>
    </r>
    <r>
      <rPr>
        <i/>
        <sz val="12"/>
        <color theme="1"/>
        <rFont val="Calibri"/>
        <family val="2"/>
        <scheme val="minor"/>
      </rPr>
      <t>(Applicable to existing buildings undergoing major retrofitting work and &gt;30 years old)</t>
    </r>
  </si>
  <si>
    <r>
      <t>Calculation of embodied carbon of the development (kg CO</t>
    </r>
    <r>
      <rPr>
        <vertAlign val="subscript"/>
        <sz val="12"/>
        <color theme="1"/>
        <rFont val="Calibri"/>
        <family val="2"/>
        <scheme val="minor"/>
      </rPr>
      <t>2</t>
    </r>
    <r>
      <rPr>
        <sz val="12"/>
        <color theme="1"/>
        <rFont val="Calibri"/>
        <family val="2"/>
        <scheme val="minor"/>
      </rPr>
      <t>e/m</t>
    </r>
    <r>
      <rPr>
        <vertAlign val="superscript"/>
        <sz val="12"/>
        <color theme="1"/>
        <rFont val="Calibri"/>
        <family val="2"/>
        <scheme val="minor"/>
      </rPr>
      <t>2</t>
    </r>
    <r>
      <rPr>
        <sz val="12"/>
        <color theme="1"/>
        <rFont val="Calibri"/>
        <family val="2"/>
        <scheme val="minor"/>
      </rPr>
      <t xml:space="preserve">)
</t>
    </r>
    <r>
      <rPr>
        <i/>
        <sz val="12"/>
        <color theme="1"/>
        <rFont val="Calibri"/>
        <family val="2"/>
        <scheme val="minor"/>
      </rPr>
      <t>Using the Embodied Carbon Calculator (ECC) hosted at the SGBC website or embodied carbon software tools which are linked to robust carbon data sets such as the Inventory of Carbon and Energy (ICE) database, the RICS Building Carbon Database, etc.</t>
    </r>
  </si>
  <si>
    <t>Space - Space utilisation and optimisation to adapt the building to cater for the occupancy, and to optimise the building services and spaces to adapt.</t>
  </si>
  <si>
    <t>Common Data Environment for Operations and Maintenance</t>
  </si>
  <si>
    <t>BADGE</t>
  </si>
  <si>
    <t>Develop and publish as 2030 Transition Plan that delineates steps to deliver a net zero carbon building from 2030 for the asset under assessment, based on scope 1 and 2 emissions</t>
  </si>
  <si>
    <t>At least 50% offset of scope 2 emissions offset at the time of verification</t>
  </si>
  <si>
    <t>Replacement level of fine aggregate with WCS used for superstructure ≤ 10%</t>
  </si>
  <si>
    <r>
      <t xml:space="preserve">Minimum extent of usage of WCS </t>
    </r>
    <r>
      <rPr>
        <sz val="12"/>
        <color theme="1"/>
        <rFont val="Calibri"/>
        <family val="2"/>
      </rPr>
      <t>≥</t>
    </r>
    <r>
      <rPr>
        <sz val="12"/>
        <color theme="1"/>
        <rFont val="Calibri"/>
        <family val="2"/>
        <scheme val="minor"/>
      </rPr>
      <t xml:space="preserve"> 0.75% of GFA</t>
    </r>
  </si>
  <si>
    <t>1.5 point</t>
  </si>
  <si>
    <t>ACMV TSE</t>
  </si>
  <si>
    <t>Ventilation Performance of Dwelling Units
a) Option 1: Plan Level
b) Option 2: Simulation
c) Option 3: Simulation + PMV</t>
  </si>
  <si>
    <t>Option
1 / 2 / 3</t>
  </si>
  <si>
    <t>Energy Efficient Dwelling Unit Equipment Selection</t>
  </si>
  <si>
    <t>Refrigerators (no. of ticks)</t>
  </si>
  <si>
    <t>Dryer (no. of ticks)</t>
  </si>
  <si>
    <t>Ventilation Performance - Common Areas</t>
  </si>
  <si>
    <t>Vertical Transportation System</t>
  </si>
  <si>
    <t>Demand Control Systems</t>
  </si>
  <si>
    <t>On-Site Renewables to offset common area consumption</t>
  </si>
  <si>
    <t>(ix)</t>
  </si>
  <si>
    <t>(x)</t>
  </si>
  <si>
    <t>(xi)</t>
  </si>
  <si>
    <t>Other applicances (no. of ticks)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</si>
</sst>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bscript"/>
      <sz val="12"/>
      <color theme="1"/>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i/>
      <vertAlign val="superscript"/>
      <sz val="12"/>
      <color theme="1"/>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i/>
      <vertAlign val="superscript"/>
      <sz val="11"/>
      <color theme="1"/>
      <name val="Calibri"/>
      <family val="2"/>
      <scheme val="minor"/>
    </font>
    <font>
      <sz val="11"/>
      <color theme="1"/>
      <name val="Calibri"/>
      <family val="2"/>
    </font>
    <font>
      <b/>
      <u/>
      <sz val="16"/>
      <color theme="1"/>
      <name val="Calibri"/>
      <family val="2"/>
      <scheme val="minor"/>
    </font>
    <font>
      <sz val="12"/>
      <color theme="0"/>
      <name val="Calibri"/>
      <family val="2"/>
      <scheme val="minor"/>
    </font>
    <font>
      <sz val="11"/>
      <color rgb="FF3F3F76"/>
      <name val="Calibri"/>
      <family val="2"/>
      <scheme val="minor"/>
    </font>
    <font>
      <b/>
      <u/>
      <sz val="16"/>
      <color rgb="FF9933FF"/>
      <name val="Calibri"/>
      <family val="2"/>
      <scheme val="minor"/>
    </font>
    <font>
      <b/>
      <sz val="16"/>
      <color rgb="FF9933FF"/>
      <name val="Calibri"/>
      <family val="2"/>
      <scheme val="minor"/>
    </font>
    <font>
      <b/>
      <sz val="16"/>
      <color rgb="FF7030A0"/>
      <name val="Calibri"/>
      <family val="2"/>
      <scheme val="minor"/>
    </font>
    <font>
      <b/>
      <u/>
      <sz val="16"/>
      <color rgb="FFFFCC99"/>
      <name val="Calibri"/>
      <family val="2"/>
      <scheme val="minor"/>
    </font>
    <font>
      <b/>
      <u/>
      <sz val="16"/>
      <color rgb="FF7030A0"/>
      <name val="Calibri"/>
      <family val="2"/>
      <scheme val="minor"/>
    </font>
    <font>
      <b/>
      <sz val="16"/>
      <color theme="5"/>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9966FF"/>
        <bgColor indexed="64"/>
      </patternFill>
    </fill>
    <fill>
      <patternFill patternType="solid">
        <fgColor rgb="FFCCCCFF"/>
        <bgColor indexed="64"/>
      </patternFill>
    </fill>
    <fill>
      <patternFill patternType="solid">
        <fgColor rgb="FFFFCC99"/>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30" fillId="0" borderId="0"/>
    <xf numFmtId="0" fontId="44" fillId="34" borderId="34" applyNumberFormat="0" applyAlignment="0" applyProtection="0"/>
  </cellStyleXfs>
  <cellXfs count="529">
    <xf numFmtId="0" fontId="0" fillId="0" borderId="0" xfId="0"/>
    <xf numFmtId="0" fontId="4"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1"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1" fillId="8" borderId="1" xfId="0" applyFont="1" applyFill="1" applyBorder="1" applyAlignment="1" applyProtection="1">
      <alignment horizontal="center" vertical="center"/>
      <protection locked="0"/>
    </xf>
    <xf numFmtId="0" fontId="0" fillId="0" borderId="0" xfId="0" applyAlignment="1">
      <alignment wrapText="1"/>
    </xf>
    <xf numFmtId="0" fontId="33" fillId="27" borderId="15" xfId="0" applyFont="1" applyFill="1" applyBorder="1" applyAlignment="1">
      <alignment horizontal="left"/>
    </xf>
    <xf numFmtId="0" fontId="33" fillId="27" borderId="0" xfId="0" applyFont="1" applyFill="1" applyAlignment="1">
      <alignment horizontal="left"/>
    </xf>
    <xf numFmtId="0" fontId="33" fillId="27" borderId="27" xfId="0" applyFont="1" applyFill="1" applyBorder="1" applyAlignment="1">
      <alignment horizontal="left"/>
    </xf>
    <xf numFmtId="0" fontId="33" fillId="27" borderId="11" xfId="0" applyFont="1" applyFill="1" applyBorder="1" applyAlignment="1">
      <alignment horizontal="center" wrapText="1"/>
    </xf>
    <xf numFmtId="0" fontId="33" fillId="27" borderId="12" xfId="0" applyFont="1" applyFill="1" applyBorder="1" applyAlignment="1">
      <alignment horizontal="center"/>
    </xf>
    <xf numFmtId="0" fontId="33" fillId="27" borderId="8" xfId="0" applyFont="1" applyFill="1" applyBorder="1" applyAlignment="1">
      <alignment horizontal="center"/>
    </xf>
    <xf numFmtId="0" fontId="11" fillId="29" borderId="1" xfId="0" applyFont="1" applyFill="1" applyBorder="1" applyAlignment="1" applyProtection="1">
      <alignment horizontal="center" vertical="center"/>
      <protection locked="0"/>
    </xf>
    <xf numFmtId="0" fontId="0" fillId="0" borderId="0" xfId="0" applyAlignment="1">
      <alignment horizontal="center"/>
    </xf>
    <xf numFmtId="0" fontId="12" fillId="0" borderId="1" xfId="0" applyFont="1" applyBorder="1" applyAlignment="1">
      <alignment horizontal="left" vertical="center" wrapText="1"/>
    </xf>
    <xf numFmtId="0" fontId="10" fillId="7" borderId="1" xfId="0" applyFont="1" applyFill="1" applyBorder="1" applyAlignment="1">
      <alignment horizontal="left" vertical="center"/>
    </xf>
    <xf numFmtId="0" fontId="43" fillId="7" borderId="1" xfId="0" applyFont="1" applyFill="1" applyBorder="1" applyAlignment="1">
      <alignment horizontal="right" vertical="center"/>
    </xf>
    <xf numFmtId="0" fontId="0" fillId="0" borderId="1" xfId="0" applyBorder="1" applyProtection="1">
      <protection locked="0"/>
    </xf>
    <xf numFmtId="0" fontId="35" fillId="0" borderId="1" xfId="0" applyFont="1" applyBorder="1" applyAlignment="1" applyProtection="1">
      <alignment horizontal="justify" vertical="center" wrapText="1"/>
      <protection locked="0"/>
    </xf>
    <xf numFmtId="3" fontId="38" fillId="0" borderId="1" xfId="0" applyNumberFormat="1" applyFont="1" applyBorder="1" applyAlignment="1" applyProtection="1">
      <alignment horizontal="justify" vertical="center" wrapText="1"/>
      <protection locked="0"/>
    </xf>
    <xf numFmtId="0" fontId="38" fillId="0" borderId="1"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2" fontId="39" fillId="0" borderId="1" xfId="0" applyNumberFormat="1" applyFont="1" applyBorder="1" applyAlignment="1" applyProtection="1">
      <alignment horizontal="left" vertical="center" wrapText="1"/>
      <protection locked="0"/>
    </xf>
    <xf numFmtId="165" fontId="38" fillId="0" borderId="1" xfId="0" applyNumberFormat="1" applyFont="1" applyBorder="1" applyAlignment="1" applyProtection="1">
      <alignment horizontal="left" vertical="center" wrapText="1"/>
      <protection locked="0"/>
    </xf>
    <xf numFmtId="164" fontId="38"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3" fillId="0" borderId="0" xfId="0" applyFont="1"/>
    <xf numFmtId="0" fontId="2" fillId="0" borderId="0" xfId="0" applyFont="1"/>
    <xf numFmtId="0" fontId="7" fillId="0" borderId="0" xfId="0" applyFont="1"/>
    <xf numFmtId="0" fontId="6" fillId="2" borderId="2" xfId="0" applyFont="1" applyFill="1" applyBorder="1" applyAlignment="1">
      <alignment horizontal="center"/>
    </xf>
    <xf numFmtId="0" fontId="8" fillId="3" borderId="1" xfId="0" applyFont="1" applyFill="1" applyBorder="1" applyAlignment="1">
      <alignment horizontal="center" vertical="center"/>
    </xf>
    <xf numFmtId="0" fontId="7" fillId="0" borderId="1" xfId="0" applyFont="1" applyBorder="1" applyAlignment="1">
      <alignment horizontal="center"/>
    </xf>
    <xf numFmtId="1" fontId="7" fillId="0" borderId="1" xfId="0" applyNumberFormat="1" applyFont="1" applyBorder="1" applyAlignment="1">
      <alignment horizont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6" fillId="2" borderId="1" xfId="0" applyFont="1" applyFill="1" applyBorder="1" applyAlignment="1">
      <alignment horizontal="center" vertical="center" wrapText="1"/>
    </xf>
    <xf numFmtId="2" fontId="7"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18" fillId="28" borderId="1" xfId="0" applyFont="1" applyFill="1" applyBorder="1" applyAlignment="1">
      <alignment vertical="center"/>
    </xf>
    <xf numFmtId="0" fontId="11" fillId="0" borderId="1" xfId="0" applyFont="1" applyBorder="1" applyAlignment="1">
      <alignment horizontal="center" vertical="center"/>
    </xf>
    <xf numFmtId="0" fontId="10" fillId="30" borderId="1" xfId="0" applyFont="1" applyFill="1" applyBorder="1" applyAlignment="1">
      <alignment vertical="center"/>
    </xf>
    <xf numFmtId="0" fontId="4" fillId="0" borderId="1" xfId="0" applyFont="1" applyBorder="1"/>
    <xf numFmtId="1" fontId="11" fillId="0" borderId="1" xfId="1" applyNumberFormat="1" applyFont="1" applyBorder="1" applyAlignment="1">
      <alignment horizontal="center" vertical="center" wrapText="1"/>
    </xf>
    <xf numFmtId="1" fontId="11" fillId="29" borderId="1" xfId="1"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center" vertical="center" wrapText="1"/>
    </xf>
    <xf numFmtId="164" fontId="10" fillId="14" borderId="1" xfId="0" applyNumberFormat="1" applyFont="1" applyFill="1" applyBorder="1" applyAlignment="1">
      <alignment horizontal="center" vertical="center"/>
    </xf>
    <xf numFmtId="0" fontId="5" fillId="9" borderId="1" xfId="0" applyFont="1" applyFill="1" applyBorder="1" applyAlignment="1">
      <alignment horizontal="center" vertical="center"/>
    </xf>
    <xf numFmtId="0" fontId="9" fillId="9" borderId="7" xfId="0" applyFont="1" applyFill="1" applyBorder="1" applyAlignment="1">
      <alignment vertical="center" wrapText="1"/>
    </xf>
    <xf numFmtId="0" fontId="9" fillId="9" borderId="5" xfId="0" applyFont="1" applyFill="1" applyBorder="1" applyAlignment="1">
      <alignment vertical="center" wrapText="1"/>
    </xf>
    <xf numFmtId="0" fontId="9" fillId="9" borderId="5" xfId="0" applyFont="1" applyFill="1" applyBorder="1" applyAlignment="1">
      <alignment horizontal="left" vertical="center" wrapText="1"/>
    </xf>
    <xf numFmtId="0" fontId="4" fillId="9" borderId="5" xfId="0" applyFont="1" applyFill="1" applyBorder="1" applyAlignment="1">
      <alignment vertical="center"/>
    </xf>
    <xf numFmtId="164" fontId="4" fillId="9" borderId="5" xfId="0" applyNumberFormat="1" applyFont="1" applyFill="1" applyBorder="1" applyAlignment="1">
      <alignment vertical="center"/>
    </xf>
    <xf numFmtId="0" fontId="4" fillId="9" borderId="6" xfId="0" applyFont="1" applyFill="1" applyBorder="1" applyAlignment="1">
      <alignment vertical="center"/>
    </xf>
    <xf numFmtId="0" fontId="5" fillId="10" borderId="1" xfId="0" applyFont="1" applyFill="1" applyBorder="1" applyAlignment="1">
      <alignment horizontal="center" vertical="center"/>
    </xf>
    <xf numFmtId="0" fontId="11" fillId="10" borderId="1" xfId="0" applyFont="1" applyFill="1" applyBorder="1" applyAlignment="1">
      <alignment vertical="center" wrapText="1"/>
    </xf>
    <xf numFmtId="0" fontId="11" fillId="10" borderId="6" xfId="0" applyFont="1" applyFill="1" applyBorder="1" applyAlignment="1">
      <alignment vertical="center" wrapText="1"/>
    </xf>
    <xf numFmtId="0" fontId="11" fillId="10" borderId="8" xfId="0" applyFont="1" applyFill="1" applyBorder="1" applyAlignment="1">
      <alignment horizontal="left" vertical="center" wrapText="1"/>
    </xf>
    <xf numFmtId="0" fontId="5" fillId="10" borderId="1" xfId="1" applyFont="1" applyFill="1" applyBorder="1" applyAlignment="1">
      <alignment horizontal="center" vertical="center"/>
    </xf>
    <xf numFmtId="164" fontId="4" fillId="10" borderId="1" xfId="0" applyNumberFormat="1" applyFont="1" applyFill="1" applyBorder="1" applyAlignment="1">
      <alignment vertical="center"/>
    </xf>
    <xf numFmtId="0" fontId="4" fillId="10" borderId="1" xfId="0" applyFont="1" applyFill="1" applyBorder="1" applyAlignment="1">
      <alignment vertical="center"/>
    </xf>
    <xf numFmtId="164" fontId="11"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164" fontId="11" fillId="12" borderId="2" xfId="0" applyNumberFormat="1" applyFont="1" applyFill="1" applyBorder="1" applyAlignment="1">
      <alignment horizontal="center" vertical="center" wrapText="1"/>
    </xf>
    <xf numFmtId="0" fontId="4" fillId="12" borderId="1" xfId="0" applyFont="1" applyFill="1" applyBorder="1" applyAlignment="1">
      <alignment vertical="center"/>
    </xf>
    <xf numFmtId="49" fontId="5" fillId="10" borderId="1" xfId="1" applyNumberFormat="1" applyFont="1" applyFill="1" applyBorder="1" applyAlignment="1">
      <alignment horizontal="center" vertical="center"/>
    </xf>
    <xf numFmtId="0" fontId="5" fillId="10" borderId="1" xfId="1" applyFont="1" applyFill="1" applyBorder="1" applyAlignment="1">
      <alignment vertical="center" wrapText="1"/>
    </xf>
    <xf numFmtId="0" fontId="5" fillId="10" borderId="6" xfId="1" applyFont="1" applyFill="1" applyBorder="1" applyAlignment="1">
      <alignment vertical="center" wrapText="1"/>
    </xf>
    <xf numFmtId="0" fontId="5" fillId="10" borderId="6" xfId="1" applyFont="1" applyFill="1" applyBorder="1" applyAlignment="1">
      <alignment horizontal="left" vertical="center" wrapText="1"/>
    </xf>
    <xf numFmtId="0" fontId="4" fillId="13" borderId="7" xfId="1" applyFont="1" applyFill="1" applyBorder="1" applyAlignment="1">
      <alignment vertical="center" wrapText="1"/>
    </xf>
    <xf numFmtId="0" fontId="4" fillId="31" borderId="1" xfId="1" applyFont="1" applyFill="1" applyBorder="1" applyAlignment="1">
      <alignment vertical="center" wrapText="1"/>
    </xf>
    <xf numFmtId="0" fontId="4" fillId="0" borderId="1" xfId="1" applyFont="1" applyBorder="1" applyAlignment="1">
      <alignment vertical="center" wrapText="1"/>
    </xf>
    <xf numFmtId="0" fontId="4" fillId="13" borderId="1" xfId="1" applyFont="1" applyFill="1" applyBorder="1" applyAlignment="1">
      <alignment vertical="center" wrapText="1"/>
    </xf>
    <xf numFmtId="0" fontId="4" fillId="0" borderId="7" xfId="1" applyFont="1" applyBorder="1" applyAlignment="1">
      <alignment vertical="center" wrapText="1"/>
    </xf>
    <xf numFmtId="0" fontId="11" fillId="0" borderId="1" xfId="0" applyFont="1" applyBorder="1" applyAlignment="1">
      <alignment horizontal="center" vertical="center" wrapText="1"/>
    </xf>
    <xf numFmtId="49" fontId="4" fillId="12" borderId="3" xfId="1" applyNumberFormat="1" applyFont="1" applyFill="1" applyBorder="1" applyAlignment="1">
      <alignment horizontal="center" vertical="center"/>
    </xf>
    <xf numFmtId="0" fontId="4" fillId="12" borderId="8" xfId="0" applyFont="1" applyFill="1" applyBorder="1" applyAlignment="1">
      <alignment horizontal="center" vertical="center"/>
    </xf>
    <xf numFmtId="0" fontId="5" fillId="9" borderId="11" xfId="0" applyFont="1" applyFill="1" applyBorder="1" applyAlignment="1">
      <alignment vertical="center"/>
    </xf>
    <xf numFmtId="0" fontId="5" fillId="9" borderId="5" xfId="0" applyFont="1" applyFill="1" applyBorder="1" applyAlignment="1">
      <alignment vertical="center"/>
    </xf>
    <xf numFmtId="0" fontId="5" fillId="9" borderId="5" xfId="0" applyFont="1" applyFill="1" applyBorder="1" applyAlignment="1">
      <alignment horizontal="left" vertical="center"/>
    </xf>
    <xf numFmtId="0" fontId="5" fillId="9" borderId="12"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5" fillId="10" borderId="1" xfId="0" applyFont="1" applyFill="1" applyBorder="1" applyAlignment="1">
      <alignment vertical="center" wrapText="1"/>
    </xf>
    <xf numFmtId="0" fontId="5" fillId="10" borderId="8" xfId="0" applyFont="1" applyFill="1" applyBorder="1" applyAlignment="1">
      <alignment vertical="center" wrapText="1"/>
    </xf>
    <xf numFmtId="0" fontId="5" fillId="10" borderId="8" xfId="0" applyFont="1" applyFill="1" applyBorder="1" applyAlignment="1">
      <alignment horizontal="left" vertical="center" wrapText="1"/>
    </xf>
    <xf numFmtId="0" fontId="4" fillId="10" borderId="7" xfId="0" applyFont="1" applyFill="1" applyBorder="1" applyAlignment="1">
      <alignment vertical="center"/>
    </xf>
    <xf numFmtId="0" fontId="4" fillId="0" borderId="1" xfId="0" applyFont="1" applyBorder="1" applyAlignment="1">
      <alignment horizontal="justify" vertical="center" wrapText="1"/>
    </xf>
    <xf numFmtId="0" fontId="4" fillId="12" borderId="0" xfId="0" applyFont="1" applyFill="1" applyAlignment="1">
      <alignment vertical="center"/>
    </xf>
    <xf numFmtId="0" fontId="4" fillId="12" borderId="6" xfId="0" applyFont="1" applyFill="1" applyBorder="1" applyAlignment="1">
      <alignment vertical="center"/>
    </xf>
    <xf numFmtId="0" fontId="5" fillId="10" borderId="6" xfId="0" applyFont="1" applyFill="1" applyBorder="1" applyAlignment="1">
      <alignment vertical="center" wrapText="1"/>
    </xf>
    <xf numFmtId="0" fontId="5" fillId="10" borderId="6" xfId="0" applyFont="1" applyFill="1" applyBorder="1" applyAlignment="1">
      <alignment horizontal="left" vertical="center" wrapText="1"/>
    </xf>
    <xf numFmtId="0" fontId="4" fillId="0" borderId="3" xfId="0" applyFont="1" applyBorder="1" applyAlignment="1">
      <alignment vertical="center" wrapText="1"/>
    </xf>
    <xf numFmtId="0" fontId="4" fillId="13" borderId="2" xfId="1" applyFont="1" applyFill="1" applyBorder="1" applyAlignment="1">
      <alignment horizontal="center" vertical="center" wrapText="1"/>
    </xf>
    <xf numFmtId="164" fontId="11" fillId="0" borderId="13" xfId="0" applyNumberFormat="1" applyFont="1" applyBorder="1" applyAlignment="1">
      <alignment horizontal="center" vertical="center" wrapText="1"/>
    </xf>
    <xf numFmtId="164" fontId="11" fillId="12" borderId="1" xfId="0" applyNumberFormat="1" applyFont="1" applyFill="1" applyBorder="1" applyAlignment="1">
      <alignment horizontal="center" vertical="center" wrapText="1"/>
    </xf>
    <xf numFmtId="0" fontId="5" fillId="9" borderId="12" xfId="0" applyFont="1" applyFill="1" applyBorder="1" applyAlignment="1">
      <alignment vertical="center"/>
    </xf>
    <xf numFmtId="0" fontId="5" fillId="9" borderId="12" xfId="0" applyFont="1" applyFill="1" applyBorder="1" applyAlignment="1">
      <alignment horizontal="left" vertical="center"/>
    </xf>
    <xf numFmtId="0" fontId="4" fillId="10" borderId="11" xfId="0" applyFont="1" applyFill="1" applyBorder="1" applyAlignment="1">
      <alignment vertical="center"/>
    </xf>
    <xf numFmtId="0" fontId="4" fillId="10" borderId="6" xfId="0" applyFont="1" applyFill="1" applyBorder="1" applyAlignment="1">
      <alignment vertical="center"/>
    </xf>
    <xf numFmtId="0" fontId="4" fillId="31"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10" fillId="14" borderId="9" xfId="0" applyFont="1" applyFill="1" applyBorder="1" applyAlignment="1">
      <alignment horizontal="center" vertical="center"/>
    </xf>
    <xf numFmtId="164" fontId="10" fillId="14" borderId="9" xfId="0" applyNumberFormat="1" applyFont="1" applyFill="1" applyBorder="1" applyAlignment="1">
      <alignment horizontal="center" vertical="center"/>
    </xf>
    <xf numFmtId="0" fontId="5" fillId="14" borderId="9" xfId="0" applyFont="1" applyFill="1" applyBorder="1" applyAlignment="1">
      <alignment horizontal="center" vertical="center"/>
    </xf>
    <xf numFmtId="0" fontId="5" fillId="9" borderId="1" xfId="2" applyFont="1" applyFill="1" applyBorder="1" applyAlignment="1">
      <alignment horizontal="center" vertical="center"/>
    </xf>
    <xf numFmtId="0" fontId="5" fillId="9" borderId="5" xfId="2" applyFont="1" applyFill="1" applyBorder="1" applyAlignment="1">
      <alignment horizontal="left" vertical="center"/>
    </xf>
    <xf numFmtId="0" fontId="5" fillId="9" borderId="7" xfId="2" applyFont="1" applyFill="1" applyBorder="1" applyAlignment="1">
      <alignment horizontal="center" vertical="center" wrapText="1"/>
    </xf>
    <xf numFmtId="0" fontId="5" fillId="9" borderId="5" xfId="2" applyFont="1" applyFill="1" applyBorder="1" applyAlignment="1">
      <alignment horizontal="center" vertical="center" wrapText="1"/>
    </xf>
    <xf numFmtId="0" fontId="5" fillId="10" borderId="1" xfId="2" applyFont="1" applyFill="1" applyBorder="1" applyAlignment="1">
      <alignment horizontal="center" vertical="center"/>
    </xf>
    <xf numFmtId="0" fontId="5" fillId="10" borderId="1" xfId="2" applyFont="1" applyFill="1" applyBorder="1" applyAlignment="1">
      <alignment vertical="center" wrapText="1"/>
    </xf>
    <xf numFmtId="0" fontId="5" fillId="10" borderId="3" xfId="2" applyFont="1" applyFill="1" applyBorder="1" applyAlignment="1">
      <alignment vertical="center" wrapText="1"/>
    </xf>
    <xf numFmtId="0" fontId="4" fillId="10" borderId="3" xfId="2" applyFont="1" applyFill="1" applyBorder="1" applyAlignment="1">
      <alignment horizontal="center" vertical="center" wrapText="1"/>
    </xf>
    <xf numFmtId="0" fontId="4" fillId="10" borderId="3" xfId="0" applyFont="1" applyFill="1" applyBorder="1" applyAlignment="1">
      <alignment vertical="center"/>
    </xf>
    <xf numFmtId="0" fontId="4" fillId="0" borderId="7" xfId="2" applyFont="1" applyBorder="1" applyAlignment="1">
      <alignment vertical="center" wrapText="1"/>
    </xf>
    <xf numFmtId="0" fontId="4" fillId="31" borderId="1" xfId="2" applyFont="1" applyFill="1" applyBorder="1" applyAlignment="1">
      <alignment vertical="center" wrapText="1"/>
    </xf>
    <xf numFmtId="0" fontId="4" fillId="0" borderId="1" xfId="2" applyFont="1" applyBorder="1" applyAlignment="1">
      <alignment vertical="center" wrapText="1"/>
    </xf>
    <xf numFmtId="164" fontId="4" fillId="0" borderId="1" xfId="2" applyNumberFormat="1" applyFont="1" applyBorder="1" applyAlignment="1">
      <alignment vertical="center" wrapText="1"/>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4" fillId="0" borderId="2" xfId="0" applyFont="1" applyBorder="1" applyAlignment="1">
      <alignment vertical="center"/>
    </xf>
    <xf numFmtId="0" fontId="15" fillId="0" borderId="1" xfId="0" applyFont="1" applyBorder="1" applyAlignment="1">
      <alignment horizontal="center" vertical="center"/>
    </xf>
    <xf numFmtId="0" fontId="4" fillId="0" borderId="7" xfId="2" applyFont="1" applyBorder="1" applyAlignment="1">
      <alignment horizontal="center" vertical="center" wrapText="1"/>
    </xf>
    <xf numFmtId="0" fontId="15" fillId="15" borderId="1" xfId="0" applyFont="1" applyFill="1" applyBorder="1" applyAlignment="1">
      <alignment horizontal="center" vertical="center" wrapText="1"/>
    </xf>
    <xf numFmtId="0" fontId="4"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0" fontId="5" fillId="10"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0" borderId="1" xfId="2" applyFont="1" applyBorder="1" applyAlignment="1">
      <alignment horizontal="justify" vertical="center" wrapText="1"/>
    </xf>
    <xf numFmtId="0" fontId="5" fillId="0" borderId="1" xfId="2" applyFont="1" applyBorder="1" applyAlignment="1">
      <alignment horizontal="center" vertical="center" wrapText="1"/>
    </xf>
    <xf numFmtId="0" fontId="4" fillId="12" borderId="9" xfId="0" applyFont="1" applyFill="1" applyBorder="1" applyAlignment="1">
      <alignment vertical="center"/>
    </xf>
    <xf numFmtId="0" fontId="5" fillId="9" borderId="1" xfId="2" applyFont="1" applyFill="1" applyBorder="1" applyAlignment="1">
      <alignment vertical="center"/>
    </xf>
    <xf numFmtId="0" fontId="5" fillId="9" borderId="6" xfId="2" applyFont="1" applyFill="1" applyBorder="1" applyAlignment="1">
      <alignment vertical="center"/>
    </xf>
    <xf numFmtId="0" fontId="11" fillId="10" borderId="1" xfId="2" applyFont="1" applyFill="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0" fontId="5" fillId="10" borderId="3" xfId="2" applyFont="1" applyFill="1" applyBorder="1" applyAlignment="1">
      <alignment horizontal="center" vertical="center"/>
    </xf>
    <xf numFmtId="0" fontId="5" fillId="10" borderId="3" xfId="2" applyFont="1" applyFill="1" applyBorder="1" applyAlignment="1">
      <alignment horizontal="justify" vertical="center" wrapText="1"/>
    </xf>
    <xf numFmtId="0" fontId="5" fillId="10" borderId="3" xfId="2" applyFont="1" applyFill="1" applyBorder="1" applyAlignment="1">
      <alignment horizontal="center" vertical="center" wrapText="1"/>
    </xf>
    <xf numFmtId="0" fontId="4" fillId="0" borderId="1" xfId="2" quotePrefix="1" applyFont="1" applyBorder="1" applyAlignment="1">
      <alignment horizontal="justify" vertical="center" wrapText="1"/>
    </xf>
    <xf numFmtId="0" fontId="4" fillId="9" borderId="5" xfId="2" applyFont="1" applyFill="1" applyBorder="1" applyAlignment="1">
      <alignment horizontal="center" vertical="center"/>
    </xf>
    <xf numFmtId="0" fontId="4" fillId="10" borderId="3" xfId="2" applyFont="1" applyFill="1" applyBorder="1" applyAlignment="1">
      <alignment horizontal="center" vertical="center"/>
    </xf>
    <xf numFmtId="0" fontId="4" fillId="10" borderId="3" xfId="2" applyFont="1" applyFill="1" applyBorder="1" applyAlignment="1">
      <alignment vertical="center" wrapText="1"/>
    </xf>
    <xf numFmtId="0" fontId="4" fillId="10" borderId="1" xfId="2" applyFont="1" applyFill="1" applyBorder="1" applyAlignment="1">
      <alignment horizontal="center" vertical="center"/>
    </xf>
    <xf numFmtId="0" fontId="4" fillId="10" borderId="1" xfId="2" applyFont="1" applyFill="1" applyBorder="1" applyAlignment="1">
      <alignment vertical="center" wrapText="1"/>
    </xf>
    <xf numFmtId="0" fontId="11" fillId="10" borderId="1" xfId="2" applyFont="1" applyFill="1" applyBorder="1" applyAlignment="1">
      <alignment horizontal="justify" vertical="center" wrapText="1"/>
    </xf>
    <xf numFmtId="0" fontId="4" fillId="0" borderId="1" xfId="0" applyFont="1" applyBorder="1" applyAlignment="1" applyProtection="1">
      <alignment vertical="center"/>
      <protection locked="0"/>
    </xf>
    <xf numFmtId="1" fontId="11" fillId="11" borderId="1" xfId="1" applyNumberFormat="1"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11" fillId="11"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1"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6" borderId="1" xfId="0" applyFont="1" applyFill="1" applyBorder="1" applyAlignment="1">
      <alignment horizontal="center" vertical="center"/>
    </xf>
    <xf numFmtId="164" fontId="10" fillId="16" borderId="5" xfId="0" applyNumberFormat="1" applyFont="1" applyFill="1" applyBorder="1" applyAlignment="1">
      <alignment horizontal="center" vertical="center"/>
    </xf>
    <xf numFmtId="0" fontId="10" fillId="16" borderId="6" xfId="0" applyFont="1" applyFill="1" applyBorder="1" applyAlignment="1">
      <alignment vertical="center"/>
    </xf>
    <xf numFmtId="0" fontId="10" fillId="20" borderId="1" xfId="0" applyFont="1" applyFill="1" applyBorder="1" applyAlignment="1">
      <alignment horizontal="center" vertical="top"/>
    </xf>
    <xf numFmtId="0" fontId="10" fillId="20" borderId="1" xfId="0" applyFont="1" applyFill="1" applyBorder="1" applyAlignment="1">
      <alignment horizontal="center" vertical="center"/>
    </xf>
    <xf numFmtId="164" fontId="10" fillId="20" borderId="1" xfId="0" applyNumberFormat="1" applyFont="1" applyFill="1" applyBorder="1" applyAlignment="1">
      <alignment horizontal="center" vertical="top"/>
    </xf>
    <xf numFmtId="164" fontId="4" fillId="0" borderId="1" xfId="0" applyNumberFormat="1" applyFont="1" applyBorder="1" applyAlignment="1">
      <alignment horizontal="center" vertical="top"/>
    </xf>
    <xf numFmtId="0" fontId="5" fillId="19" borderId="1" xfId="0" applyFont="1" applyFill="1" applyBorder="1" applyAlignment="1">
      <alignment horizontal="center" vertical="top"/>
    </xf>
    <xf numFmtId="0" fontId="5" fillId="19" borderId="1" xfId="0" applyFont="1" applyFill="1" applyBorder="1" applyAlignment="1">
      <alignment horizontal="center" vertical="center"/>
    </xf>
    <xf numFmtId="164" fontId="5" fillId="19" borderId="1" xfId="0" applyNumberFormat="1" applyFont="1" applyFill="1" applyBorder="1" applyAlignment="1">
      <alignment horizontal="center" vertical="top"/>
    </xf>
    <xf numFmtId="0" fontId="4" fillId="0" borderId="19" xfId="0" applyFont="1" applyBorder="1" applyAlignment="1">
      <alignment horizontal="left" vertical="top"/>
    </xf>
    <xf numFmtId="0" fontId="4" fillId="0" borderId="21" xfId="0" applyFont="1" applyBorder="1" applyAlignment="1">
      <alignment vertical="top"/>
    </xf>
    <xf numFmtId="0" fontId="0" fillId="31" borderId="1" xfId="0" applyFill="1" applyBorder="1" applyAlignment="1">
      <alignment horizontal="center" vertical="center"/>
    </xf>
    <xf numFmtId="0" fontId="4" fillId="5" borderId="1" xfId="2" applyFont="1" applyFill="1" applyBorder="1" applyAlignment="1">
      <alignment horizontal="center" vertical="center"/>
    </xf>
    <xf numFmtId="164" fontId="5" fillId="5" borderId="1" xfId="0" applyNumberFormat="1" applyFont="1" applyFill="1" applyBorder="1" applyAlignment="1">
      <alignment horizontal="center" vertical="top"/>
    </xf>
    <xf numFmtId="0" fontId="4" fillId="5" borderId="1" xfId="0" applyFont="1" applyFill="1" applyBorder="1" applyAlignment="1">
      <alignment horizontal="center" vertical="top"/>
    </xf>
    <xf numFmtId="0" fontId="5" fillId="0" borderId="1" xfId="0" applyFont="1" applyBorder="1" applyAlignment="1">
      <alignment horizontal="center" vertical="center" wrapText="1"/>
    </xf>
    <xf numFmtId="0" fontId="4" fillId="18" borderId="16" xfId="0" applyFont="1" applyFill="1" applyBorder="1" applyAlignment="1">
      <alignment vertical="top"/>
    </xf>
    <xf numFmtId="0" fontId="5" fillId="18"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164" fontId="10" fillId="16" borderId="6" xfId="0" applyNumberFormat="1" applyFont="1" applyFill="1" applyBorder="1" applyAlignment="1">
      <alignment horizontal="center" vertical="center"/>
    </xf>
    <xf numFmtId="0" fontId="4" fillId="19" borderId="1" xfId="0" applyFont="1" applyFill="1" applyBorder="1" applyAlignment="1">
      <alignment vertical="center"/>
    </xf>
    <xf numFmtId="0" fontId="4" fillId="19" borderId="1" xfId="0" applyFont="1" applyFill="1" applyBorder="1" applyAlignment="1">
      <alignment horizontal="center" vertical="center"/>
    </xf>
    <xf numFmtId="0" fontId="5" fillId="19" borderId="1" xfId="0" applyFont="1" applyFill="1" applyBorder="1" applyAlignment="1">
      <alignment vertical="center"/>
    </xf>
    <xf numFmtId="0" fontId="0" fillId="19" borderId="1" xfId="0" applyFill="1" applyBorder="1"/>
    <xf numFmtId="164" fontId="4" fillId="19" borderId="1" xfId="0" applyNumberFormat="1" applyFont="1" applyFill="1" applyBorder="1" applyAlignment="1">
      <alignment vertical="center"/>
    </xf>
    <xf numFmtId="0" fontId="5" fillId="0" borderId="1" xfId="0" applyFont="1" applyBorder="1" applyAlignment="1">
      <alignment vertical="center"/>
    </xf>
    <xf numFmtId="164" fontId="4" fillId="0" borderId="1" xfId="0" applyNumberFormat="1" applyFont="1" applyBorder="1" applyAlignment="1">
      <alignment vertical="center"/>
    </xf>
    <xf numFmtId="0" fontId="5" fillId="18" borderId="17" xfId="0" applyFont="1" applyFill="1" applyBorder="1" applyAlignment="1">
      <alignment horizontal="left" vertical="top" wrapText="1"/>
    </xf>
    <xf numFmtId="0" fontId="22" fillId="0" borderId="21" xfId="0" applyFont="1" applyBorder="1" applyAlignment="1">
      <alignment horizontal="center" vertical="top"/>
    </xf>
    <xf numFmtId="2" fontId="5" fillId="0" borderId="1" xfId="0" applyNumberFormat="1" applyFont="1" applyBorder="1" applyAlignment="1">
      <alignment horizontal="center" vertical="center"/>
    </xf>
    <xf numFmtId="0" fontId="5" fillId="0" borderId="1" xfId="0" applyFont="1" applyBorder="1" applyAlignment="1">
      <alignment vertical="center" wrapText="1"/>
    </xf>
    <xf numFmtId="164" fontId="4" fillId="0" borderId="1" xfId="0" applyNumberFormat="1" applyFont="1" applyBorder="1" applyAlignment="1">
      <alignment vertical="center" wrapText="1"/>
    </xf>
    <xf numFmtId="0" fontId="10" fillId="20" borderId="2" xfId="0" applyFont="1" applyFill="1" applyBorder="1" applyAlignment="1">
      <alignment horizontal="center" vertical="top"/>
    </xf>
    <xf numFmtId="164" fontId="5" fillId="0" borderId="1" xfId="0" applyNumberFormat="1" applyFont="1" applyBorder="1" applyAlignment="1">
      <alignment horizontal="center" vertical="center" wrapText="1"/>
    </xf>
    <xf numFmtId="0" fontId="4" fillId="5" borderId="3" xfId="2" applyFont="1" applyFill="1" applyBorder="1" applyAlignment="1">
      <alignment horizontal="center" vertical="center"/>
    </xf>
    <xf numFmtId="0" fontId="10" fillId="16" borderId="5" xfId="0" applyFont="1" applyFill="1" applyBorder="1" applyAlignment="1">
      <alignment horizontal="center" vertical="center"/>
    </xf>
    <xf numFmtId="0" fontId="4" fillId="0" borderId="10" xfId="0" applyFont="1" applyBorder="1" applyAlignment="1">
      <alignment horizontal="center" vertical="top"/>
    </xf>
    <xf numFmtId="0" fontId="4" fillId="17"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18" fillId="5"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3" borderId="1" xfId="0" applyFont="1" applyFill="1" applyBorder="1" applyAlignment="1">
      <alignment horizontal="center" vertical="center"/>
    </xf>
    <xf numFmtId="0" fontId="11" fillId="23" borderId="5" xfId="0" applyFont="1" applyFill="1" applyBorder="1" applyAlignment="1">
      <alignment horizontal="center" vertical="center"/>
    </xf>
    <xf numFmtId="164" fontId="11" fillId="23" borderId="5" xfId="0" applyNumberFormat="1" applyFont="1" applyFill="1" applyBorder="1" applyAlignment="1">
      <alignment horizontal="center" vertical="center"/>
    </xf>
    <xf numFmtId="0" fontId="11" fillId="23" borderId="6" xfId="0" applyFont="1" applyFill="1" applyBorder="1" applyAlignment="1">
      <alignment vertical="center"/>
    </xf>
    <xf numFmtId="0" fontId="11" fillId="21" borderId="1" xfId="0" applyFont="1" applyFill="1" applyBorder="1" applyAlignment="1">
      <alignment horizontal="center" vertical="top"/>
    </xf>
    <xf numFmtId="0" fontId="11" fillId="21" borderId="1" xfId="0" applyFont="1" applyFill="1" applyBorder="1" applyAlignment="1">
      <alignment horizontal="center" vertical="center"/>
    </xf>
    <xf numFmtId="164" fontId="11" fillId="21" borderId="1" xfId="0" applyNumberFormat="1" applyFont="1" applyFill="1" applyBorder="1" applyAlignment="1">
      <alignment horizontal="center" vertical="center"/>
    </xf>
    <xf numFmtId="0" fontId="11" fillId="22" borderId="1" xfId="0" applyFont="1" applyFill="1" applyBorder="1" applyAlignment="1">
      <alignment horizontal="center" vertical="top"/>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top"/>
    </xf>
    <xf numFmtId="164" fontId="11" fillId="22" borderId="1" xfId="0" applyNumberFormat="1" applyFont="1" applyFill="1" applyBorder="1" applyAlignment="1">
      <alignment horizontal="center" vertical="center"/>
    </xf>
    <xf numFmtId="164" fontId="5" fillId="24" borderId="1" xfId="0" applyNumberFormat="1" applyFont="1" applyFill="1" applyBorder="1" applyAlignment="1">
      <alignment horizontal="center" vertical="center"/>
    </xf>
    <xf numFmtId="0" fontId="4" fillId="24" borderId="1" xfId="0" applyFont="1" applyFill="1" applyBorder="1" applyAlignment="1">
      <alignment vertical="top"/>
    </xf>
    <xf numFmtId="0" fontId="25" fillId="0" borderId="18" xfId="0" applyFont="1" applyBorder="1" applyAlignment="1">
      <alignment horizontal="left" vertical="center" wrapText="1"/>
    </xf>
    <xf numFmtId="0" fontId="26" fillId="0" borderId="19" xfId="0" applyFont="1" applyBorder="1" applyAlignment="1">
      <alignment vertical="top" wrapText="1"/>
    </xf>
    <xf numFmtId="0" fontId="25" fillId="0" borderId="18" xfId="0" applyFont="1" applyBorder="1" applyAlignment="1">
      <alignment vertical="center" wrapText="1"/>
    </xf>
    <xf numFmtId="0" fontId="11" fillId="21" borderId="6" xfId="0" applyFont="1" applyFill="1" applyBorder="1" applyAlignment="1">
      <alignment horizontal="center" vertical="top"/>
    </xf>
    <xf numFmtId="0" fontId="11" fillId="22" borderId="6" xfId="0" applyFont="1" applyFill="1" applyBorder="1" applyAlignment="1">
      <alignment horizontal="center" vertical="top"/>
    </xf>
    <xf numFmtId="0" fontId="5" fillId="0" borderId="6" xfId="0" applyFont="1" applyBorder="1" applyAlignment="1">
      <alignment horizontal="center" vertical="center" wrapText="1"/>
    </xf>
    <xf numFmtId="164" fontId="11" fillId="23" borderId="1" xfId="0" applyNumberFormat="1" applyFont="1" applyFill="1" applyBorder="1" applyAlignment="1">
      <alignment horizontal="center" vertical="center"/>
    </xf>
    <xf numFmtId="0" fontId="11" fillId="23" borderId="1" xfId="0" applyFont="1" applyFill="1" applyBorder="1" applyAlignment="1">
      <alignment vertical="center"/>
    </xf>
    <xf numFmtId="0" fontId="11" fillId="0" borderId="1" xfId="0" applyFont="1" applyBorder="1" applyAlignment="1">
      <alignment horizontal="center" vertical="top"/>
    </xf>
    <xf numFmtId="0" fontId="11" fillId="22" borderId="1" xfId="0" applyFont="1" applyFill="1" applyBorder="1" applyAlignment="1">
      <alignment horizontal="center" vertical="center"/>
    </xf>
    <xf numFmtId="0" fontId="4" fillId="0" borderId="1" xfId="0" applyFont="1" applyBorder="1" applyAlignment="1" applyProtection="1">
      <alignment vertical="top"/>
      <protection locked="0"/>
    </xf>
    <xf numFmtId="0" fontId="4" fillId="0" borderId="2" xfId="0" applyFont="1" applyBorder="1" applyAlignment="1" applyProtection="1">
      <alignment horizontal="center" vertical="top"/>
      <protection locked="0"/>
    </xf>
    <xf numFmtId="0" fontId="4" fillId="0" borderId="1" xfId="0" applyFont="1" applyBorder="1" applyAlignment="1" applyProtection="1">
      <alignment vertical="center" wrapText="1"/>
      <protection locked="0"/>
    </xf>
    <xf numFmtId="0" fontId="1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164" fontId="11" fillId="26" borderId="1" xfId="0" applyNumberFormat="1" applyFont="1" applyFill="1" applyBorder="1" applyAlignment="1">
      <alignment horizontal="center" vertical="center"/>
    </xf>
    <xf numFmtId="0" fontId="5" fillId="25" borderId="1" xfId="0" applyFont="1" applyFill="1" applyBorder="1" applyAlignment="1">
      <alignment horizontal="center" vertical="center"/>
    </xf>
    <xf numFmtId="0" fontId="9" fillId="25" borderId="1" xfId="0" applyFont="1" applyFill="1" applyBorder="1" applyAlignment="1">
      <alignment vertical="center" wrapText="1"/>
    </xf>
    <xf numFmtId="0" fontId="9" fillId="25" borderId="1" xfId="0" applyFont="1" applyFill="1" applyBorder="1" applyAlignment="1">
      <alignment horizontal="left" vertical="center" wrapText="1"/>
    </xf>
    <xf numFmtId="0" fontId="4" fillId="25" borderId="1" xfId="0" applyFont="1" applyFill="1" applyBorder="1" applyAlignment="1">
      <alignment vertical="center"/>
    </xf>
    <xf numFmtId="164" fontId="4" fillId="25" borderId="1" xfId="0" applyNumberFormat="1" applyFont="1" applyFill="1" applyBorder="1" applyAlignment="1">
      <alignment vertical="center"/>
    </xf>
    <xf numFmtId="0" fontId="11" fillId="31" borderId="1" xfId="0" applyFont="1" applyFill="1" applyBorder="1" applyAlignment="1">
      <alignment horizontal="center" vertical="center"/>
    </xf>
    <xf numFmtId="0" fontId="12" fillId="31" borderId="1" xfId="0" applyFont="1" applyFill="1" applyBorder="1" applyAlignment="1">
      <alignment horizontal="center" vertical="center"/>
    </xf>
    <xf numFmtId="0" fontId="12" fillId="0" borderId="1" xfId="0" applyFont="1" applyBorder="1" applyAlignment="1">
      <alignment horizontal="center" vertical="center"/>
    </xf>
    <xf numFmtId="0" fontId="4" fillId="15" borderId="1" xfId="0" applyFont="1" applyFill="1" applyBorder="1" applyAlignment="1">
      <alignment horizontal="center" vertical="center"/>
    </xf>
    <xf numFmtId="164" fontId="11" fillId="15" borderId="1" xfId="0" applyNumberFormat="1" applyFont="1" applyFill="1" applyBorder="1" applyAlignment="1">
      <alignment horizontal="center" vertical="center" wrapText="1"/>
    </xf>
    <xf numFmtId="0" fontId="4" fillId="15" borderId="1" xfId="0" applyFont="1" applyFill="1" applyBorder="1" applyAlignment="1">
      <alignment vertical="center"/>
    </xf>
    <xf numFmtId="0" fontId="4" fillId="13" borderId="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4" fillId="0" borderId="1" xfId="2" applyFont="1" applyBorder="1" applyAlignment="1">
      <alignment horizontal="left" vertical="center" wrapText="1"/>
    </xf>
    <xf numFmtId="0" fontId="5" fillId="25" borderId="1" xfId="0" applyFont="1" applyFill="1" applyBorder="1" applyAlignment="1">
      <alignment vertical="center"/>
    </xf>
    <xf numFmtId="164" fontId="5" fillId="25" borderId="1" xfId="0" applyNumberFormat="1" applyFont="1" applyFill="1" applyBorder="1" applyAlignment="1">
      <alignment vertical="center"/>
    </xf>
    <xf numFmtId="0" fontId="5" fillId="25" borderId="1" xfId="0" applyFont="1" applyFill="1" applyBorder="1" applyAlignment="1">
      <alignment vertical="center" wrapText="1"/>
    </xf>
    <xf numFmtId="164" fontId="5" fillId="0" borderId="1" xfId="0" applyNumberFormat="1" applyFont="1" applyBorder="1" applyAlignment="1" applyProtection="1">
      <alignment horizontal="center" vertical="center"/>
      <protection locked="0"/>
    </xf>
    <xf numFmtId="0" fontId="0" fillId="0" borderId="0" xfId="0" applyProtection="1">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0" fillId="0" borderId="1" xfId="0" applyBorder="1" applyAlignment="1">
      <alignment horizontal="center" vertical="center"/>
    </xf>
    <xf numFmtId="0" fontId="4" fillId="0" borderId="2" xfId="2" applyFont="1" applyBorder="1" applyAlignment="1">
      <alignment horizontal="center" vertical="center"/>
    </xf>
    <xf numFmtId="49" fontId="4" fillId="13" borderId="1" xfId="1"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2" applyFont="1" applyBorder="1" applyAlignment="1">
      <alignment horizontal="center" vertical="center"/>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10" fillId="20" borderId="1" xfId="0" applyFont="1" applyFill="1" applyBorder="1" applyAlignment="1">
      <alignment horizontal="left" vertical="top" wrapText="1"/>
    </xf>
    <xf numFmtId="0" fontId="5" fillId="0" borderId="1" xfId="0" applyFont="1" applyBorder="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0" fontId="11" fillId="22" borderId="1" xfId="0" applyFont="1" applyFill="1" applyBorder="1" applyAlignment="1">
      <alignment horizontal="left" vertical="top" wrapText="1"/>
    </xf>
    <xf numFmtId="0" fontId="4" fillId="31"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2" applyFont="1" applyBorder="1" applyAlignment="1">
      <alignment horizontal="center" vertical="center"/>
    </xf>
    <xf numFmtId="0" fontId="2" fillId="0" borderId="0" xfId="0" applyFont="1" applyProtection="1">
      <protection locked="0"/>
    </xf>
    <xf numFmtId="0" fontId="0" fillId="0" borderId="0" xfId="0" applyAlignment="1" applyProtection="1">
      <alignment horizontal="center" vertical="center"/>
      <protection locked="0"/>
    </xf>
    <xf numFmtId="0" fontId="4" fillId="0" borderId="0" xfId="0" applyFont="1" applyProtection="1">
      <protection locked="0"/>
    </xf>
    <xf numFmtId="0" fontId="11" fillId="11" borderId="1" xfId="0" applyFont="1" applyFill="1" applyBorder="1" applyAlignment="1">
      <alignment horizontal="center" vertical="center"/>
    </xf>
    <xf numFmtId="0" fontId="15" fillId="0" borderId="0" xfId="0" applyFont="1" applyAlignment="1" applyProtection="1">
      <alignment horizontal="center" vertical="center"/>
      <protection locked="0"/>
    </xf>
    <xf numFmtId="0" fontId="0" fillId="0" borderId="0" xfId="0" applyAlignment="1" applyProtection="1">
      <alignment vertical="center"/>
      <protection locked="0"/>
    </xf>
    <xf numFmtId="0" fontId="15" fillId="0" borderId="0" xfId="0" applyFont="1" applyAlignment="1" applyProtection="1">
      <alignment horizontal="center" vertical="center" wrapText="1"/>
      <protection locked="0"/>
    </xf>
    <xf numFmtId="0" fontId="0" fillId="19" borderId="0" xfId="0" applyFill="1" applyProtection="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2" fontId="10" fillId="32" borderId="1" xfId="0" applyNumberFormat="1" applyFont="1" applyFill="1" applyBorder="1" applyAlignment="1">
      <alignment horizontal="center" vertical="center" wrapText="1"/>
    </xf>
    <xf numFmtId="0" fontId="0" fillId="0" borderId="0" xfId="0" applyAlignment="1" applyProtection="1">
      <alignment wrapText="1"/>
      <protection locked="0"/>
    </xf>
    <xf numFmtId="0" fontId="12" fillId="34" borderId="1" xfId="4"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wrapText="1"/>
      <protection locked="0"/>
    </xf>
    <xf numFmtId="2" fontId="12" fillId="13" borderId="1" xfId="4" applyNumberFormat="1" applyFont="1" applyFill="1" applyBorder="1" applyAlignment="1" applyProtection="1">
      <alignment horizontal="center" vertical="center" wrapText="1"/>
    </xf>
    <xf numFmtId="2" fontId="4" fillId="0" borderId="0" xfId="0" applyNumberFormat="1" applyFont="1" applyAlignment="1">
      <alignment horizontal="center"/>
    </xf>
    <xf numFmtId="0" fontId="43" fillId="7" borderId="2" xfId="0" applyFont="1" applyFill="1" applyBorder="1" applyAlignment="1">
      <alignment horizontal="right" vertical="center"/>
    </xf>
    <xf numFmtId="0" fontId="12" fillId="34" borderId="1" xfId="4" applyFont="1" applyBorder="1" applyAlignment="1" applyProtection="1">
      <alignment horizontal="center" vertical="center"/>
      <protection locked="0"/>
    </xf>
    <xf numFmtId="2" fontId="12" fillId="34" borderId="1" xfId="4" applyNumberFormat="1" applyFont="1" applyBorder="1" applyAlignment="1" applyProtection="1">
      <alignment horizontal="center" vertical="center" wrapText="1"/>
      <protection locked="0"/>
    </xf>
    <xf numFmtId="2" fontId="5" fillId="2" borderId="1"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2" fontId="7" fillId="0" borderId="1" xfId="0" applyNumberFormat="1" applyFont="1" applyBorder="1" applyAlignment="1">
      <alignment horizontal="center"/>
    </xf>
    <xf numFmtId="0" fontId="6" fillId="8" borderId="1" xfId="0" applyFont="1" applyFill="1" applyBorder="1" applyAlignment="1" applyProtection="1">
      <alignment horizontal="center" vertical="center"/>
      <protection locked="0"/>
    </xf>
    <xf numFmtId="0" fontId="32" fillId="0" borderId="0" xfId="0" applyFont="1" applyProtection="1">
      <protection locked="0"/>
    </xf>
    <xf numFmtId="0" fontId="34" fillId="0" borderId="0" xfId="0" applyFont="1" applyProtection="1">
      <protection locked="0"/>
    </xf>
    <xf numFmtId="0" fontId="36" fillId="0" borderId="0" xfId="0" applyFont="1" applyProtection="1">
      <protection locked="0"/>
    </xf>
    <xf numFmtId="0" fontId="35" fillId="0" borderId="1" xfId="0" applyFont="1" applyBorder="1" applyProtection="1">
      <protection locked="0"/>
    </xf>
    <xf numFmtId="0" fontId="35" fillId="0" borderId="1" xfId="0" applyFont="1" applyBorder="1" applyAlignment="1" applyProtection="1">
      <alignment vertical="center"/>
      <protection locked="0"/>
    </xf>
    <xf numFmtId="0" fontId="11" fillId="35" borderId="1" xfId="0" applyFont="1" applyFill="1" applyBorder="1" applyAlignment="1" applyProtection="1">
      <alignment horizontal="center" vertical="center"/>
      <protection locked="0"/>
    </xf>
    <xf numFmtId="0" fontId="32" fillId="0" borderId="1" xfId="0" applyFont="1" applyBorder="1" applyAlignment="1">
      <alignment horizontal="left" vertical="center" wrapText="1"/>
    </xf>
    <xf numFmtId="0" fontId="33" fillId="0" borderId="1" xfId="0" applyFont="1" applyBorder="1" applyAlignment="1">
      <alignment horizontal="center"/>
    </xf>
    <xf numFmtId="0" fontId="35" fillId="0" borderId="3" xfId="0" applyFont="1" applyBorder="1" applyAlignment="1">
      <alignment horizontal="left" vertical="center"/>
    </xf>
    <xf numFmtId="0" fontId="35" fillId="0" borderId="1" xfId="0" applyFont="1" applyBorder="1" applyAlignment="1">
      <alignment horizontal="left" vertical="center"/>
    </xf>
    <xf numFmtId="0" fontId="32" fillId="0" borderId="1" xfId="0" applyFont="1" applyBorder="1" applyAlignment="1">
      <alignment horizontal="left" vertical="top" wrapText="1"/>
    </xf>
    <xf numFmtId="0" fontId="39" fillId="0" borderId="1" xfId="0" applyFont="1" applyBorder="1" applyAlignment="1">
      <alignment horizontal="left" vertical="center" wrapText="1"/>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0" fillId="0" borderId="1" xfId="0" applyBorder="1" applyAlignment="1">
      <alignment horizontal="center" vertical="center"/>
    </xf>
    <xf numFmtId="0" fontId="11" fillId="30" borderId="1" xfId="0" applyFont="1" applyFill="1" applyBorder="1" applyAlignment="1">
      <alignment horizontal="left" vertical="center"/>
    </xf>
    <xf numFmtId="0" fontId="13" fillId="28"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left" vertical="center" wrapText="1"/>
    </xf>
    <xf numFmtId="0" fontId="0" fillId="0" borderId="15" xfId="0" applyBorder="1" applyAlignment="1" applyProtection="1">
      <alignment horizontal="left"/>
      <protection locked="0"/>
    </xf>
    <xf numFmtId="0" fontId="0" fillId="0" borderId="0" xfId="0" applyAlignment="1" applyProtection="1">
      <alignment horizontal="left"/>
      <protection locked="0"/>
    </xf>
    <xf numFmtId="0" fontId="0" fillId="15"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5" fillId="12" borderId="7" xfId="2" applyFont="1" applyFill="1" applyBorder="1" applyAlignment="1">
      <alignment horizontal="right" vertical="center" wrapText="1"/>
    </xf>
    <xf numFmtId="0" fontId="5" fillId="12" borderId="5" xfId="2" applyFont="1" applyFill="1" applyBorder="1" applyAlignment="1">
      <alignment horizontal="right" vertical="center" wrapText="1"/>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5" fillId="12" borderId="1" xfId="2" applyFont="1" applyFill="1" applyBorder="1" applyAlignment="1">
      <alignment horizontal="right" vertical="center" wrapText="1"/>
    </xf>
    <xf numFmtId="0" fontId="5" fillId="9" borderId="7" xfId="2" applyFont="1" applyFill="1" applyBorder="1" applyAlignment="1">
      <alignment horizontal="left" vertical="center"/>
    </xf>
    <xf numFmtId="0" fontId="5" fillId="9" borderId="6" xfId="2" applyFont="1" applyFill="1" applyBorder="1" applyAlignment="1">
      <alignment horizontal="left"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3" borderId="2" xfId="1" applyNumberFormat="1" applyFont="1" applyFill="1" applyBorder="1" applyAlignment="1">
      <alignment horizontal="center" vertical="center"/>
    </xf>
    <xf numFmtId="49" fontId="4" fillId="13" borderId="10" xfId="1" applyNumberFormat="1" applyFont="1" applyFill="1" applyBorder="1" applyAlignment="1">
      <alignment horizontal="center" vertical="center"/>
    </xf>
    <xf numFmtId="49" fontId="4" fillId="13" borderId="1" xfId="1" applyNumberFormat="1" applyFont="1" applyFill="1" applyBorder="1" applyAlignment="1">
      <alignment horizontal="center" vertical="center"/>
    </xf>
    <xf numFmtId="0" fontId="4" fillId="13" borderId="2" xfId="1" applyFont="1" applyFill="1" applyBorder="1" applyAlignment="1">
      <alignment horizontal="left" vertical="center" wrapText="1"/>
    </xf>
    <xf numFmtId="0" fontId="4" fillId="13" borderId="3" xfId="1" applyFont="1" applyFill="1" applyBorder="1" applyAlignment="1">
      <alignment horizontal="left" vertical="center" wrapText="1"/>
    </xf>
    <xf numFmtId="0" fontId="10" fillId="14" borderId="7"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12" borderId="6" xfId="2"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10" fillId="14" borderId="1"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20" borderId="5" xfId="0" applyFont="1" applyFill="1" applyBorder="1" applyAlignment="1">
      <alignment horizontal="left" vertical="top"/>
    </xf>
    <xf numFmtId="0" fontId="10" fillId="20" borderId="6" xfId="0" applyFont="1" applyFill="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19" borderId="5" xfId="0" applyFont="1" applyFill="1" applyBorder="1" applyAlignment="1">
      <alignment horizontal="left" vertical="top"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6" borderId="7" xfId="0" applyFont="1" applyFill="1" applyBorder="1" applyAlignment="1">
      <alignment horizontal="left" vertical="top"/>
    </xf>
    <xf numFmtId="0" fontId="10" fillId="16" borderId="5" xfId="0" applyFont="1" applyFill="1" applyBorder="1" applyAlignment="1">
      <alignment horizontal="left" vertical="top"/>
    </xf>
    <xf numFmtId="0" fontId="4" fillId="0" borderId="1" xfId="0" applyFont="1" applyBorder="1" applyAlignment="1">
      <alignment horizontal="left" vertical="top" wrapText="1"/>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10" fillId="20" borderId="1" xfId="0" applyFont="1" applyFill="1" applyBorder="1" applyAlignment="1">
      <alignment horizontal="left" vertical="top" wrapText="1"/>
    </xf>
    <xf numFmtId="0" fontId="5"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center"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21" fillId="0" borderId="0" xfId="0" applyFont="1" applyAlignment="1">
      <alignment horizontal="left" vertical="top" wrapText="1"/>
    </xf>
    <xf numFmtId="0" fontId="5" fillId="0" borderId="7"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0" borderId="7" xfId="0" applyFont="1" applyFill="1" applyBorder="1" applyAlignment="1">
      <alignment horizontal="left" vertical="top"/>
    </xf>
    <xf numFmtId="0" fontId="5" fillId="31" borderId="7" xfId="0" applyFont="1" applyFill="1" applyBorder="1" applyAlignment="1">
      <alignment horizontal="center" vertical="center"/>
    </xf>
    <xf numFmtId="0" fontId="4" fillId="0" borderId="24" xfId="0" applyFont="1" applyBorder="1" applyAlignment="1">
      <alignment horizontal="center" vertical="top" wrapText="1"/>
    </xf>
    <xf numFmtId="0" fontId="5" fillId="0" borderId="1" xfId="0" applyFont="1" applyBorder="1" applyAlignment="1">
      <alignment horizontal="center" vertical="top"/>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31" borderId="2" xfId="0" applyFont="1" applyFill="1" applyBorder="1" applyAlignment="1">
      <alignment horizontal="center" vertical="center"/>
    </xf>
    <xf numFmtId="0" fontId="4" fillId="31" borderId="10" xfId="0" applyFont="1" applyFill="1" applyBorder="1" applyAlignment="1">
      <alignment horizontal="center" vertical="center"/>
    </xf>
    <xf numFmtId="0" fontId="4" fillId="31" borderId="3" xfId="0" applyFont="1" applyFill="1" applyBorder="1" applyAlignment="1">
      <alignment horizontal="center" vertical="center"/>
    </xf>
    <xf numFmtId="0" fontId="5" fillId="0" borderId="10" xfId="0" applyFont="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top"/>
    </xf>
    <xf numFmtId="0" fontId="4" fillId="17" borderId="2" xfId="0" applyFont="1" applyFill="1" applyBorder="1" applyAlignment="1" applyProtection="1">
      <alignment horizontal="center" vertical="center"/>
      <protection locked="0"/>
    </xf>
    <xf numFmtId="0" fontId="4" fillId="17"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4" fillId="0" borderId="5" xfId="0" applyFont="1" applyBorder="1" applyAlignment="1">
      <alignment horizontal="left" vertical="top"/>
    </xf>
    <xf numFmtId="0" fontId="5" fillId="19" borderId="9" xfId="0" applyFont="1" applyFill="1" applyBorder="1" applyAlignment="1">
      <alignment horizontal="left" vertical="top"/>
    </xf>
    <xf numFmtId="0" fontId="5" fillId="19" borderId="2" xfId="0" applyFont="1" applyFill="1" applyBorder="1" applyAlignment="1">
      <alignment horizontal="left" vertical="top"/>
    </xf>
    <xf numFmtId="0" fontId="5" fillId="19" borderId="1" xfId="0" applyFont="1" applyFill="1" applyBorder="1" applyAlignment="1">
      <alignment horizontal="left" vertical="top"/>
    </xf>
    <xf numFmtId="0" fontId="4" fillId="0" borderId="10" xfId="0" applyFont="1" applyBorder="1" applyAlignment="1">
      <alignment horizontal="center" vertical="center" wrapText="1"/>
    </xf>
    <xf numFmtId="0" fontId="5" fillId="18" borderId="16" xfId="0" applyFont="1" applyFill="1" applyBorder="1" applyAlignment="1">
      <alignment horizontal="left" vertical="top"/>
    </xf>
    <xf numFmtId="0" fontId="5" fillId="18" borderId="17" xfId="0" applyFont="1" applyFill="1" applyBorder="1" applyAlignment="1">
      <alignment horizontal="left" vertical="top"/>
    </xf>
    <xf numFmtId="0" fontId="5" fillId="0" borderId="1" xfId="0" applyFont="1" applyBorder="1" applyAlignment="1" applyProtection="1">
      <alignment horizontal="center" vertical="top"/>
      <protection locked="0"/>
    </xf>
    <xf numFmtId="0" fontId="5" fillId="31" borderId="1"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1" fillId="21" borderId="1" xfId="0" applyFont="1" applyFill="1" applyBorder="1" applyAlignment="1">
      <alignment horizontal="left" vertical="top" wrapText="1"/>
    </xf>
    <xf numFmtId="0" fontId="11" fillId="21" borderId="1" xfId="0" applyFont="1" applyFill="1" applyBorder="1" applyAlignment="1">
      <alignment horizontal="left" vertical="top"/>
    </xf>
    <xf numFmtId="0" fontId="11" fillId="22" borderId="1" xfId="0" applyFont="1" applyFill="1" applyBorder="1" applyAlignment="1">
      <alignment horizontal="left" vertical="top" wrapText="1"/>
    </xf>
    <xf numFmtId="0" fontId="5" fillId="24" borderId="1" xfId="0" applyFont="1" applyFill="1" applyBorder="1" applyAlignment="1">
      <alignment horizontal="right" vertical="center"/>
    </xf>
    <xf numFmtId="0" fontId="21" fillId="0" borderId="1" xfId="0" applyFont="1" applyBorder="1" applyAlignment="1">
      <alignment horizontal="left" vertical="top" wrapText="1"/>
    </xf>
    <xf numFmtId="0" fontId="11" fillId="22" borderId="1" xfId="0" applyFont="1" applyFill="1" applyBorder="1" applyAlignment="1">
      <alignment horizontal="left" vertical="center" wrapText="1"/>
    </xf>
    <xf numFmtId="0" fontId="11" fillId="23" borderId="1" xfId="0" applyFont="1" applyFill="1" applyBorder="1" applyAlignment="1">
      <alignment horizontal="left" vertical="top"/>
    </xf>
    <xf numFmtId="0" fontId="4" fillId="31" borderId="1" xfId="0" applyFont="1" applyFill="1" applyBorder="1" applyAlignment="1">
      <alignment horizontal="center" vertical="center"/>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11" fillId="22" borderId="5"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24" fillId="5" borderId="7"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11" fillId="23" borderId="7" xfId="0" applyFont="1" applyFill="1" applyBorder="1" applyAlignment="1">
      <alignment horizontal="left" vertical="top"/>
    </xf>
    <xf numFmtId="0" fontId="11" fillId="23" borderId="5" xfId="0" applyFont="1" applyFill="1" applyBorder="1" applyAlignment="1">
      <alignment horizontal="left" vertical="top"/>
    </xf>
    <xf numFmtId="0" fontId="11" fillId="21" borderId="5" xfId="0" applyFont="1" applyFill="1" applyBorder="1" applyAlignment="1">
      <alignment horizontal="left" vertical="top"/>
    </xf>
    <xf numFmtId="0" fontId="11" fillId="21" borderId="6" xfId="0" applyFont="1" applyFill="1" applyBorder="1" applyAlignment="1">
      <alignment horizontal="left" vertical="top"/>
    </xf>
    <xf numFmtId="0" fontId="11" fillId="22" borderId="1" xfId="0" applyFont="1" applyFill="1" applyBorder="1" applyAlignment="1">
      <alignment horizontal="left" vertical="top"/>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6" xfId="0" applyFont="1" applyBorder="1" applyAlignment="1">
      <alignment horizontal="center" vertical="top" wrapText="1"/>
    </xf>
    <xf numFmtId="0" fontId="11" fillId="21" borderId="5" xfId="0" applyFont="1" applyFill="1" applyBorder="1" applyAlignment="1">
      <alignment horizontal="left" vertical="top" wrapText="1"/>
    </xf>
    <xf numFmtId="0" fontId="11" fillId="21" borderId="6" xfId="0" applyFont="1" applyFill="1" applyBorder="1" applyAlignment="1">
      <alignment horizontal="left" vertical="top" wrapText="1"/>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5" fillId="17" borderId="16" xfId="0" applyFont="1" applyFill="1" applyBorder="1" applyAlignment="1">
      <alignment horizontal="center" vertical="top" wrapText="1"/>
    </xf>
    <xf numFmtId="0" fontId="5" fillId="17" borderId="17" xfId="0" applyFont="1" applyFill="1" applyBorder="1" applyAlignment="1">
      <alignment horizontal="center"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xf numFmtId="0" fontId="28" fillId="0" borderId="20" xfId="0" applyFont="1" applyBorder="1" applyAlignment="1">
      <alignment horizontal="left" vertical="top" wrapText="1"/>
    </xf>
    <xf numFmtId="0" fontId="28" fillId="0" borderId="21" xfId="0" applyFont="1" applyBorder="1" applyAlignment="1">
      <alignment horizontal="left" vertical="top" wrapText="1"/>
    </xf>
    <xf numFmtId="0" fontId="5" fillId="15" borderId="1" xfId="2" applyFont="1" applyFill="1" applyBorder="1" applyAlignment="1">
      <alignment horizontal="right" vertical="center" wrapText="1"/>
    </xf>
    <xf numFmtId="0" fontId="24" fillId="6" borderId="1" xfId="0" applyFont="1" applyFill="1" applyBorder="1" applyAlignment="1">
      <alignment horizontal="center" vertical="center"/>
    </xf>
    <xf numFmtId="0" fontId="11" fillId="26" borderId="1" xfId="0" applyFont="1" applyFill="1" applyBorder="1" applyAlignment="1">
      <alignment horizontal="left" vertical="center" wrapText="1"/>
    </xf>
    <xf numFmtId="0" fontId="4" fillId="0" borderId="1" xfId="2" applyFont="1" applyBorder="1" applyAlignment="1">
      <alignment horizontal="center" vertical="center"/>
    </xf>
    <xf numFmtId="2" fontId="4" fillId="0" borderId="1" xfId="0" applyNumberFormat="1" applyFont="1" applyBorder="1" applyAlignment="1">
      <alignment horizontal="center" vertical="center" wrapText="1"/>
    </xf>
    <xf numFmtId="2" fontId="12" fillId="0" borderId="7"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6"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2" fontId="10" fillId="32" borderId="1" xfId="0" applyNumberFormat="1" applyFont="1" applyFill="1" applyBorder="1" applyAlignment="1">
      <alignment horizontal="center" vertical="center" wrapText="1"/>
    </xf>
    <xf numFmtId="0" fontId="10" fillId="32" borderId="1" xfId="0" applyFont="1" applyFill="1" applyBorder="1" applyAlignment="1">
      <alignment horizontal="center" vertical="center" wrapText="1"/>
    </xf>
    <xf numFmtId="2" fontId="4" fillId="0" borderId="1" xfId="0" applyNumberFormat="1" applyFont="1" applyBorder="1" applyAlignment="1">
      <alignment horizontal="center"/>
    </xf>
    <xf numFmtId="0" fontId="9" fillId="2" borderId="1" xfId="0" applyFont="1" applyFill="1" applyBorder="1" applyAlignment="1">
      <alignment horizontal="center" vertical="center" wrapText="1"/>
    </xf>
    <xf numFmtId="2" fontId="5" fillId="33" borderId="1" xfId="0" applyNumberFormat="1" applyFont="1" applyFill="1" applyBorder="1" applyAlignment="1">
      <alignment horizontal="center" vertical="center"/>
    </xf>
    <xf numFmtId="0" fontId="5" fillId="33" borderId="1" xfId="0" applyFont="1" applyFill="1" applyBorder="1" applyAlignment="1">
      <alignment horizontal="center" vertical="center"/>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0" fontId="12" fillId="0" borderId="1" xfId="0" applyFont="1" applyBorder="1" applyAlignment="1">
      <alignment horizontal="center"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10" fillId="32" borderId="1" xfId="0" applyFont="1" applyFill="1" applyBorder="1" applyAlignment="1">
      <alignment horizontal="left" vertical="center"/>
    </xf>
    <xf numFmtId="2" fontId="12" fillId="0" borderId="5" xfId="0" applyNumberFormat="1" applyFont="1" applyBorder="1" applyAlignment="1">
      <alignment horizontal="center" vertical="center"/>
    </xf>
    <xf numFmtId="0" fontId="42" fillId="0" borderId="24" xfId="0" applyFont="1" applyBorder="1" applyAlignment="1">
      <alignment horizontal="center" vertical="top" wrapText="1"/>
    </xf>
    <xf numFmtId="0" fontId="42" fillId="0" borderId="0" xfId="0" applyFont="1" applyAlignment="1">
      <alignment horizontal="center" vertical="top" wrapText="1"/>
    </xf>
    <xf numFmtId="0" fontId="42" fillId="0" borderId="35" xfId="0" applyFont="1" applyBorder="1" applyAlignment="1">
      <alignment horizontal="center" vertical="top" wrapText="1"/>
    </xf>
    <xf numFmtId="0" fontId="46" fillId="0" borderId="31" xfId="0" applyFont="1" applyBorder="1" applyAlignment="1">
      <alignment horizontal="left" vertical="top" wrapText="1"/>
    </xf>
    <xf numFmtId="0" fontId="45" fillId="0" borderId="32" xfId="0" applyFont="1" applyBorder="1" applyAlignment="1">
      <alignment horizontal="left" vertical="top" wrapText="1"/>
    </xf>
    <xf numFmtId="0" fontId="45" fillId="0" borderId="33" xfId="0" applyFont="1" applyBorder="1" applyAlignment="1">
      <alignment horizontal="left" vertical="top" wrapText="1"/>
    </xf>
    <xf numFmtId="2" fontId="8"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42" fillId="0" borderId="28" xfId="0" applyFont="1" applyBorder="1" applyAlignment="1">
      <alignment horizontal="center" vertical="top" wrapText="1"/>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5" fillId="33" borderId="7" xfId="0" applyFont="1" applyFill="1" applyBorder="1" applyAlignment="1">
      <alignment horizontal="left" vertical="center"/>
    </xf>
    <xf numFmtId="0" fontId="5" fillId="33" borderId="6" xfId="0" applyFont="1" applyFill="1" applyBorder="1" applyAlignment="1">
      <alignment horizontal="left" vertical="center"/>
    </xf>
    <xf numFmtId="0" fontId="0" fillId="0" borderId="1" xfId="0" applyBorder="1" applyAlignment="1">
      <alignment horizontal="center"/>
    </xf>
    <xf numFmtId="2" fontId="12" fillId="34" borderId="1" xfId="4" applyNumberFormat="1" applyFont="1" applyBorder="1" applyAlignment="1" applyProtection="1">
      <alignment horizontal="center" vertical="center"/>
      <protection locked="0"/>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0"/>
  <tableStyles count="0" defaultTableStyle="TableStyleMedium2" defaultPivotStyle="PivotStyleLight16"/>
  <colors>
    <mruColors>
      <color rgb="FF0A0064"/>
      <color rgb="FF9966FF"/>
      <color rgb="FFCCCCFF"/>
      <color rgb="FF9933FF"/>
      <color rgb="FFFFFFCC"/>
      <color rgb="FFFFFF99"/>
      <color rgb="FFFFFF66"/>
      <color rgb="FF66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486810"/>
          <a:ext cx="1076406" cy="1059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326745</xdr:rowOff>
    </xdr:from>
    <xdr:ext cx="6038384" cy="34278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21287" y="574395"/>
          <a:ext cx="603838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Scoreheet!</a:t>
          </a:r>
          <a:endParaRPr lang="en-SG" sz="1600" b="1">
            <a:solidFill>
              <a:srgbClr val="7030A0"/>
            </a:solidFill>
          </a:endParaRPr>
        </a:p>
      </xdr:txBody>
    </xdr:sp>
    <xdr:clientData/>
  </xdr:oneCellAnchor>
  <xdr:twoCellAnchor>
    <xdr:from>
      <xdr:col>1</xdr:col>
      <xdr:colOff>317753</xdr:colOff>
      <xdr:row>2</xdr:row>
      <xdr:rowOff>494424</xdr:rowOff>
    </xdr:from>
    <xdr:to>
      <xdr:col>1</xdr:col>
      <xdr:colOff>2135687</xdr:colOff>
      <xdr:row>2</xdr:row>
      <xdr:rowOff>498138</xdr:rowOff>
    </xdr:to>
    <xdr:cxnSp macro="">
      <xdr:nvCxnSpPr>
        <xdr:cNvPr id="3" name="Straight Arrow Connector 2">
          <a:extLst>
            <a:ext uri="{FF2B5EF4-FFF2-40B4-BE49-F238E27FC236}">
              <a16:creationId xmlns:a16="http://schemas.microsoft.com/office/drawing/2014/main" id="{00000000-0008-0000-0700-000003000000}"/>
            </a:ext>
          </a:extLst>
        </xdr:cNvPr>
        <xdr:cNvCxnSpPr>
          <a:stCxn id="2" idx="1"/>
        </xdr:cNvCxnSpPr>
      </xdr:nvCxnSpPr>
      <xdr:spPr>
        <a:xfrm flipH="1" flipV="1">
          <a:off x="927353" y="570624"/>
          <a:ext cx="293934" cy="371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171450</xdr:rowOff>
        </xdr:from>
        <xdr:to>
          <xdr:col>1</xdr:col>
          <xdr:colOff>298450</xdr:colOff>
          <xdr:row>3</xdr:row>
          <xdr:rowOff>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E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E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efreshError="1">
        <row r="6">
          <cell r="E6">
            <v>3</v>
          </cell>
          <cell r="F6">
            <v>0</v>
          </cell>
          <cell r="L6">
            <v>10.5</v>
          </cell>
          <cell r="M6">
            <v>0</v>
          </cell>
        </row>
        <row r="7">
          <cell r="B7" t="str">
            <v>General Project Requirement</v>
          </cell>
          <cell r="E7">
            <v>3</v>
          </cell>
          <cell r="F7">
            <v>0</v>
          </cell>
          <cell r="I7" t="str">
            <v>Softscape</v>
          </cell>
          <cell r="L7">
            <v>1</v>
          </cell>
          <cell r="M7">
            <v>0</v>
          </cell>
        </row>
        <row r="8">
          <cell r="E8">
            <v>11.5</v>
          </cell>
          <cell r="F8">
            <v>0</v>
          </cell>
          <cell r="I8" t="str">
            <v>Hardscape</v>
          </cell>
          <cell r="L8">
            <v>3.5</v>
          </cell>
          <cell r="M8">
            <v>0</v>
          </cell>
        </row>
        <row r="9">
          <cell r="A9" t="str">
            <v>Part A - General Façade</v>
          </cell>
          <cell r="E9">
            <v>0.5</v>
          </cell>
          <cell r="F9">
            <v>0</v>
          </cell>
          <cell r="I9" t="str">
            <v>Vertical Greenery</v>
          </cell>
          <cell r="L9" t="str">
            <v>Pre-req</v>
          </cell>
        </row>
        <row r="10">
          <cell r="B10" t="str">
            <v>General Façade</v>
          </cell>
          <cell r="E10">
            <v>0.5</v>
          </cell>
          <cell r="F10">
            <v>0</v>
          </cell>
          <cell r="I10" t="str">
            <v>Roof and Sky Terraces</v>
          </cell>
          <cell r="L10">
            <v>1</v>
          </cell>
          <cell r="M10">
            <v>0</v>
          </cell>
        </row>
        <row r="11">
          <cell r="A11" t="str">
            <v>Part B - Façade System</v>
          </cell>
          <cell r="E11">
            <v>4</v>
          </cell>
          <cell r="F11">
            <v>0</v>
          </cell>
          <cell r="I11" t="str">
            <v>Water Retaining Structures</v>
          </cell>
          <cell r="L11">
            <v>3</v>
          </cell>
          <cell r="M11">
            <v>0</v>
          </cell>
        </row>
        <row r="12">
          <cell r="B12" t="str">
            <v>Cladding system: Tile/ Stone/ Metal/ Others</v>
          </cell>
          <cell r="E12">
            <v>4</v>
          </cell>
          <cell r="F12">
            <v>0</v>
          </cell>
          <cell r="I12" t="str">
            <v>Standalone Structures</v>
          </cell>
          <cell r="L12">
            <v>2</v>
          </cell>
          <cell r="M12">
            <v>0</v>
          </cell>
        </row>
        <row r="13">
          <cell r="B13" t="str">
            <v>Curtain Wall: Glazing/ Others</v>
          </cell>
          <cell r="L13">
            <v>2</v>
          </cell>
          <cell r="M13">
            <v>0</v>
          </cell>
        </row>
        <row r="14">
          <cell r="B14" t="str">
            <v>Masonry and Lightweight Concrete Panels</v>
          </cell>
          <cell r="I14" t="str">
            <v>Outdoor games court</v>
          </cell>
          <cell r="L14">
            <v>2</v>
          </cell>
          <cell r="M14">
            <v>0</v>
          </cell>
        </row>
        <row r="15">
          <cell r="A15" t="str">
            <v>Part C - Others</v>
          </cell>
          <cell r="E15">
            <v>7</v>
          </cell>
          <cell r="F15">
            <v>0</v>
          </cell>
          <cell r="L15">
            <v>5</v>
          </cell>
          <cell r="M15">
            <v>0</v>
          </cell>
        </row>
        <row r="16">
          <cell r="B16" t="str">
            <v>Façade Features/ considerations</v>
          </cell>
          <cell r="E16">
            <v>3</v>
          </cell>
          <cell r="F16">
            <v>0</v>
          </cell>
          <cell r="I16" t="str">
            <v>Innovation features in labour-saving/maintenance-free</v>
          </cell>
          <cell r="L16">
            <v>5</v>
          </cell>
          <cell r="M16">
            <v>0</v>
          </cell>
        </row>
        <row r="17">
          <cell r="B17" t="str">
            <v>Entrance lobby/ Integrated drop-off points at blocks</v>
          </cell>
          <cell r="E17">
            <v>2</v>
          </cell>
          <cell r="F17">
            <v>0</v>
          </cell>
        </row>
        <row r="18">
          <cell r="B18" t="str">
            <v>Exposed corridors and link bridges</v>
          </cell>
          <cell r="E18">
            <v>2</v>
          </cell>
          <cell r="F18">
            <v>0</v>
          </cell>
          <cell r="H18" t="str">
            <v>Section 1 BONUS POINTS</v>
          </cell>
          <cell r="L18">
            <v>3</v>
          </cell>
          <cell r="M18">
            <v>0</v>
          </cell>
        </row>
        <row r="19">
          <cell r="B19" t="str">
            <v>Roof</v>
          </cell>
          <cell r="E19" t="str">
            <v>Pre-req</v>
          </cell>
          <cell r="H19" t="str">
            <v>Section 5 BONUS POINTS</v>
          </cell>
          <cell r="L19">
            <v>1</v>
          </cell>
          <cell r="M19">
            <v>0</v>
          </cell>
        </row>
        <row r="20">
          <cell r="E20">
            <v>18.5</v>
          </cell>
          <cell r="F20">
            <v>0</v>
          </cell>
        </row>
        <row r="21">
          <cell r="B21" t="str">
            <v>Floors</v>
          </cell>
          <cell r="E21">
            <v>2.5</v>
          </cell>
          <cell r="F21">
            <v>0</v>
          </cell>
        </row>
        <row r="22">
          <cell r="B22" t="str">
            <v>Walls and Partitions</v>
          </cell>
          <cell r="E22">
            <v>1</v>
          </cell>
          <cell r="F22">
            <v>0</v>
          </cell>
          <cell r="K22">
            <v>0</v>
          </cell>
          <cell r="N22">
            <v>0</v>
          </cell>
        </row>
        <row r="23">
          <cell r="B23" t="str">
            <v>Ceiling</v>
          </cell>
          <cell r="E23">
            <v>4</v>
          </cell>
          <cell r="F23">
            <v>0</v>
          </cell>
          <cell r="K23">
            <v>71</v>
          </cell>
        </row>
        <row r="24">
          <cell r="B24" t="str">
            <v xml:space="preserve">Common toilets </v>
          </cell>
          <cell r="E24">
            <v>7</v>
          </cell>
          <cell r="F24">
            <v>0</v>
          </cell>
          <cell r="K24">
            <v>0</v>
          </cell>
        </row>
        <row r="25">
          <cell r="B25" t="str">
            <v>Basements</v>
          </cell>
          <cell r="E25">
            <v>4</v>
          </cell>
          <cell r="F25">
            <v>0</v>
          </cell>
          <cell r="K25">
            <v>0</v>
          </cell>
          <cell r="M25">
            <v>0</v>
          </cell>
        </row>
        <row r="26">
          <cell r="E26">
            <v>10</v>
          </cell>
          <cell r="F26">
            <v>0</v>
          </cell>
        </row>
        <row r="27">
          <cell r="B27" t="str">
            <v xml:space="preserve">Air Conditioning System-Direct Expansion System 
(DX Units) </v>
          </cell>
          <cell r="E27">
            <v>2</v>
          </cell>
          <cell r="F27">
            <v>0</v>
          </cell>
        </row>
        <row r="28">
          <cell r="B28" t="str">
            <v>Air Conditioning System - Variable Refrigerant Flow (VRF) System</v>
          </cell>
          <cell r="E28" t="str">
            <v>Pre-req</v>
          </cell>
        </row>
        <row r="29">
          <cell r="B29" t="str">
            <v>Air Distribution System</v>
          </cell>
          <cell r="E29">
            <v>1</v>
          </cell>
          <cell r="F29">
            <v>0</v>
          </cell>
        </row>
        <row r="30">
          <cell r="B30" t="str">
            <v>Domestic Water Supply</v>
          </cell>
          <cell r="E30" t="str">
            <v>Pre-req</v>
          </cell>
          <cell r="M30" t="str">
            <v/>
          </cell>
        </row>
        <row r="31">
          <cell r="B31" t="str">
            <v>Sanitary System</v>
          </cell>
          <cell r="E31">
            <v>3</v>
          </cell>
          <cell r="F31">
            <v>0</v>
          </cell>
          <cell r="M31">
            <v>0</v>
          </cell>
        </row>
        <row r="32">
          <cell r="B32" t="str">
            <v xml:space="preserve">Fire Protection System </v>
          </cell>
          <cell r="E32">
            <v>1</v>
          </cell>
          <cell r="F32">
            <v>0</v>
          </cell>
        </row>
        <row r="33">
          <cell r="B33" t="str">
            <v>Swimming Pool System</v>
          </cell>
          <cell r="E33">
            <v>3</v>
          </cell>
          <cell r="F33">
            <v>0</v>
          </cell>
        </row>
        <row r="35">
          <cell r="E35">
            <v>10.5</v>
          </cell>
          <cell r="F35">
            <v>0</v>
          </cell>
        </row>
        <row r="36">
          <cell r="B36" t="str">
            <v>Lighting System</v>
          </cell>
          <cell r="E36">
            <v>1.5</v>
          </cell>
          <cell r="F36">
            <v>0</v>
          </cell>
        </row>
        <row r="37">
          <cell r="B37" t="str">
            <v>Power Distribution System</v>
          </cell>
          <cell r="E37">
            <v>3</v>
          </cell>
          <cell r="F37">
            <v>0</v>
          </cell>
        </row>
        <row r="38">
          <cell r="B38" t="str">
            <v>Extra Low Voltage System</v>
          </cell>
          <cell r="E38">
            <v>3</v>
          </cell>
          <cell r="F38">
            <v>0</v>
          </cell>
        </row>
        <row r="39">
          <cell r="B39" t="str">
            <v>Lightning Protection System</v>
          </cell>
          <cell r="E39">
            <v>1</v>
          </cell>
          <cell r="F39">
            <v>0</v>
          </cell>
        </row>
        <row r="40">
          <cell r="B40" t="str">
            <v>Vertical Transportation System</v>
          </cell>
          <cell r="E40">
            <v>2</v>
          </cell>
          <cell r="F40">
            <v>0</v>
          </cell>
        </row>
        <row r="41">
          <cell r="B41" t="str">
            <v>Carpark Entry System</v>
          </cell>
          <cell r="E41" t="str">
            <v>Pre-req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ow r="6">
          <cell r="F6">
            <v>0</v>
          </cell>
          <cell r="M6">
            <v>0</v>
          </cell>
        </row>
        <row r="7">
          <cell r="F7">
            <v>0</v>
          </cell>
          <cell r="M7">
            <v>0</v>
          </cell>
        </row>
        <row r="8">
          <cell r="F8">
            <v>0</v>
          </cell>
          <cell r="M8">
            <v>0</v>
          </cell>
        </row>
        <row r="9">
          <cell r="F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row>
        <row r="18">
          <cell r="F18">
            <v>0</v>
          </cell>
          <cell r="M18">
            <v>0</v>
          </cell>
        </row>
        <row r="19">
          <cell r="M19">
            <v>0</v>
          </cell>
        </row>
        <row r="20">
          <cell r="F20">
            <v>0</v>
          </cell>
        </row>
        <row r="21">
          <cell r="F21">
            <v>0</v>
          </cell>
        </row>
        <row r="22">
          <cell r="F22">
            <v>0</v>
          </cell>
          <cell r="K22">
            <v>0</v>
          </cell>
          <cell r="N22">
            <v>0</v>
          </cell>
        </row>
        <row r="23">
          <cell r="F23">
            <v>0</v>
          </cell>
        </row>
        <row r="24">
          <cell r="F24">
            <v>0</v>
          </cell>
          <cell r="K24">
            <v>0</v>
          </cell>
        </row>
        <row r="25">
          <cell r="F25">
            <v>0</v>
          </cell>
          <cell r="K25">
            <v>0</v>
          </cell>
          <cell r="M25">
            <v>0</v>
          </cell>
        </row>
        <row r="26">
          <cell r="F26">
            <v>0</v>
          </cell>
        </row>
        <row r="27">
          <cell r="F27">
            <v>0</v>
          </cell>
        </row>
        <row r="29">
          <cell r="F29">
            <v>0</v>
          </cell>
        </row>
        <row r="30">
          <cell r="M30" t="str">
            <v/>
          </cell>
        </row>
        <row r="31">
          <cell r="F31">
            <v>0</v>
          </cell>
          <cell r="M31">
            <v>0</v>
          </cell>
        </row>
        <row r="32">
          <cell r="F32">
            <v>0</v>
          </cell>
        </row>
        <row r="33">
          <cell r="F33">
            <v>0</v>
          </cell>
        </row>
        <row r="35">
          <cell r="F35">
            <v>0</v>
          </cell>
        </row>
        <row r="36">
          <cell r="F36">
            <v>0</v>
          </cell>
        </row>
        <row r="37">
          <cell r="F37">
            <v>0</v>
          </cell>
        </row>
        <row r="38">
          <cell r="F38">
            <v>0</v>
          </cell>
        </row>
        <row r="39">
          <cell r="F39">
            <v>0</v>
          </cell>
        </row>
        <row r="40">
          <cell r="F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3BD85-8E55-45DA-A912-6B708FF54D43}">
  <dimension ref="A1:G25"/>
  <sheetViews>
    <sheetView tabSelected="1" zoomScaleNormal="100" workbookViewId="0">
      <selection activeCell="D5" sqref="D5"/>
    </sheetView>
  </sheetViews>
  <sheetFormatPr defaultColWidth="8.81640625" defaultRowHeight="14.5" x14ac:dyDescent="0.35"/>
  <cols>
    <col min="1" max="1" width="33.81640625" style="304" customWidth="1"/>
    <col min="2" max="2" width="11.81640625" style="273" customWidth="1"/>
    <col min="3" max="3" width="63" style="273" customWidth="1"/>
    <col min="4" max="5" width="50.7265625" style="273" customWidth="1"/>
    <col min="6" max="6" width="8.81640625" style="273"/>
    <col min="7" max="7" width="63" style="317" hidden="1" customWidth="1"/>
    <col min="8" max="16384" width="8.81640625" style="273"/>
  </cols>
  <sheetData>
    <row r="1" spans="1:7" x14ac:dyDescent="0.35">
      <c r="A1" s="11"/>
      <c r="B1"/>
      <c r="C1"/>
    </row>
    <row r="2" spans="1:7" s="318" customFormat="1" ht="20" x14ac:dyDescent="0.4">
      <c r="A2" s="324"/>
      <c r="B2" s="324"/>
      <c r="C2" s="324"/>
    </row>
    <row r="3" spans="1:7" s="318" customFormat="1" ht="20" x14ac:dyDescent="0.4">
      <c r="A3" s="12"/>
      <c r="B3" s="13"/>
      <c r="C3" s="14"/>
    </row>
    <row r="4" spans="1:7" s="318" customFormat="1" ht="20" x14ac:dyDescent="0.4">
      <c r="A4" s="12" t="s">
        <v>475</v>
      </c>
      <c r="B4" s="13"/>
      <c r="C4" s="14"/>
    </row>
    <row r="5" spans="1:7" s="318" customFormat="1" ht="20" x14ac:dyDescent="0.4">
      <c r="A5" s="12"/>
      <c r="B5" s="13"/>
      <c r="C5" s="14"/>
    </row>
    <row r="6" spans="1:7" s="318" customFormat="1" ht="31.5" customHeight="1" x14ac:dyDescent="0.4">
      <c r="A6" s="15"/>
      <c r="B6" s="16"/>
      <c r="C6" s="17"/>
    </row>
    <row r="7" spans="1:7" ht="20.149999999999999" customHeight="1" x14ac:dyDescent="0.35">
      <c r="A7" s="325" t="s">
        <v>0</v>
      </c>
      <c r="B7" s="325"/>
      <c r="C7" s="325"/>
      <c r="G7" s="319" t="s">
        <v>1</v>
      </c>
    </row>
    <row r="8" spans="1:7" ht="20.149999999999999" customHeight="1" x14ac:dyDescent="0.35">
      <c r="A8" s="323" t="s">
        <v>2</v>
      </c>
      <c r="B8" s="323"/>
      <c r="C8" s="24"/>
    </row>
    <row r="9" spans="1:7" ht="20.149999999999999" customHeight="1" x14ac:dyDescent="0.35">
      <c r="A9" s="323" t="s">
        <v>3</v>
      </c>
      <c r="B9" s="323"/>
      <c r="C9" s="24"/>
    </row>
    <row r="10" spans="1:7" ht="20.149999999999999" customHeight="1" x14ac:dyDescent="0.35">
      <c r="A10" s="323" t="s">
        <v>4</v>
      </c>
      <c r="B10" s="323"/>
      <c r="C10" s="24"/>
      <c r="G10" s="298" t="s">
        <v>5</v>
      </c>
    </row>
    <row r="11" spans="1:7" ht="20.149999999999999" customHeight="1" x14ac:dyDescent="0.35">
      <c r="A11" s="323" t="s">
        <v>6</v>
      </c>
      <c r="B11" s="323"/>
      <c r="C11" s="25"/>
      <c r="G11" s="298"/>
    </row>
    <row r="12" spans="1:7" ht="20.149999999999999" customHeight="1" x14ac:dyDescent="0.35">
      <c r="A12" s="323" t="s">
        <v>7</v>
      </c>
      <c r="B12" s="323"/>
      <c r="C12" s="25"/>
      <c r="G12" s="298"/>
    </row>
    <row r="13" spans="1:7" ht="20.149999999999999" customHeight="1" x14ac:dyDescent="0.35">
      <c r="A13" s="323" t="s">
        <v>8</v>
      </c>
      <c r="B13" s="323"/>
      <c r="C13" s="25"/>
      <c r="G13" s="298"/>
    </row>
    <row r="14" spans="1:7" ht="20.149999999999999" customHeight="1" x14ac:dyDescent="0.35">
      <c r="A14" s="326"/>
      <c r="B14" s="326"/>
      <c r="C14" s="320"/>
      <c r="G14" s="298"/>
    </row>
    <row r="15" spans="1:7" ht="20.149999999999999" customHeight="1" x14ac:dyDescent="0.35">
      <c r="A15" s="326" t="s">
        <v>9</v>
      </c>
      <c r="B15" s="326"/>
      <c r="C15" s="321"/>
      <c r="G15" s="298"/>
    </row>
    <row r="16" spans="1:7" ht="20.149999999999999" customHeight="1" x14ac:dyDescent="0.35">
      <c r="A16" s="323" t="s">
        <v>10</v>
      </c>
      <c r="B16" s="323"/>
      <c r="C16" s="26"/>
      <c r="G16" s="298" t="s">
        <v>11</v>
      </c>
    </row>
    <row r="17" spans="1:3" ht="20.149999999999999" customHeight="1" x14ac:dyDescent="0.35">
      <c r="A17" s="323" t="s">
        <v>12</v>
      </c>
      <c r="B17" s="323"/>
      <c r="C17" s="27"/>
    </row>
    <row r="18" spans="1:3" ht="20.149999999999999" customHeight="1" x14ac:dyDescent="0.35">
      <c r="A18" s="323" t="s">
        <v>13</v>
      </c>
      <c r="B18" s="323"/>
      <c r="C18" s="26"/>
    </row>
    <row r="19" spans="1:3" ht="20.149999999999999" customHeight="1" x14ac:dyDescent="0.35">
      <c r="A19" s="323" t="s">
        <v>14</v>
      </c>
      <c r="B19" s="323"/>
      <c r="C19" s="28"/>
    </row>
    <row r="20" spans="1:3" ht="20.149999999999999" customHeight="1" x14ac:dyDescent="0.35">
      <c r="A20" s="328" t="s">
        <v>15</v>
      </c>
      <c r="B20" s="328"/>
      <c r="C20" s="29"/>
    </row>
    <row r="21" spans="1:3" ht="20.149999999999999" customHeight="1" x14ac:dyDescent="0.35">
      <c r="A21" s="328" t="s">
        <v>16</v>
      </c>
      <c r="B21" s="328"/>
      <c r="C21" s="30"/>
    </row>
    <row r="22" spans="1:3" ht="20.149999999999999" customHeight="1" x14ac:dyDescent="0.35">
      <c r="A22" s="328" t="s">
        <v>17</v>
      </c>
      <c r="B22" s="328"/>
      <c r="C22" s="31"/>
    </row>
    <row r="23" spans="1:3" ht="20.149999999999999" customHeight="1" x14ac:dyDescent="0.35">
      <c r="A23" s="323" t="s">
        <v>18</v>
      </c>
      <c r="B23" s="323"/>
      <c r="C23" s="23"/>
    </row>
    <row r="24" spans="1:3" x14ac:dyDescent="0.35">
      <c r="A24" s="323"/>
      <c r="B24" s="323"/>
      <c r="C24" s="43"/>
    </row>
    <row r="25" spans="1:3" ht="104.25" customHeight="1" x14ac:dyDescent="0.35">
      <c r="A25" s="327" t="s">
        <v>482</v>
      </c>
      <c r="B25" s="327"/>
      <c r="C25" s="23"/>
    </row>
  </sheetData>
  <sheetProtection algorithmName="SHA-512" hashValue="oU4AkkBOTjBwnqo6YtJ6ju2BsXfnOhoespi17aUcqUgrB4yn2wngi0+VklJ6Vd0CfxaKcw/0DCBKYpdkHNWcAA==" saltValue="AyEA76PZgt2hwVxLDPmqgA==" spinCount="100000" sheet="1" objects="1" scenarios="1" formatCells="0" selectLockedCells="1"/>
  <mergeCells count="20">
    <mergeCell ref="A24:B24"/>
    <mergeCell ref="A25:B25"/>
    <mergeCell ref="A18:B18"/>
    <mergeCell ref="A19:B19"/>
    <mergeCell ref="A20:B20"/>
    <mergeCell ref="A21:B21"/>
    <mergeCell ref="A22:B22"/>
    <mergeCell ref="A23:B23"/>
    <mergeCell ref="A17:B17"/>
    <mergeCell ref="A2:C2"/>
    <mergeCell ref="A7:C7"/>
    <mergeCell ref="A8:B8"/>
    <mergeCell ref="A9:B9"/>
    <mergeCell ref="A10:B10"/>
    <mergeCell ref="A11:B11"/>
    <mergeCell ref="A12:B12"/>
    <mergeCell ref="A13:B13"/>
    <mergeCell ref="A14:B14"/>
    <mergeCell ref="A15:B15"/>
    <mergeCell ref="A16:B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zoomScaleSheetLayoutView="100" workbookViewId="0">
      <selection activeCell="D10" sqref="D8:D10"/>
    </sheetView>
  </sheetViews>
  <sheetFormatPr defaultColWidth="9.1796875" defaultRowHeight="14.5" x14ac:dyDescent="0.35"/>
  <cols>
    <col min="1" max="1" width="29.81640625" style="273" customWidth="1"/>
    <col min="2" max="2" width="26.26953125" style="273" customWidth="1"/>
    <col min="3" max="3" width="26.1796875" style="273" customWidth="1"/>
    <col min="4" max="5" width="23.54296875" style="273" customWidth="1"/>
    <col min="6" max="6" width="50.7265625" style="273" customWidth="1"/>
    <col min="7" max="16384" width="9.1796875" style="273"/>
  </cols>
  <sheetData>
    <row r="1" spans="1:5" ht="31" x14ac:dyDescent="0.7">
      <c r="A1" s="32" t="s">
        <v>19</v>
      </c>
    </row>
    <row r="2" spans="1:5" x14ac:dyDescent="0.35">
      <c r="A2" s="33" t="s">
        <v>20</v>
      </c>
    </row>
    <row r="3" spans="1:5" x14ac:dyDescent="0.35">
      <c r="A3" s="33" t="s">
        <v>21</v>
      </c>
    </row>
    <row r="4" spans="1:5" x14ac:dyDescent="0.35">
      <c r="A4" s="33" t="s">
        <v>22</v>
      </c>
    </row>
    <row r="5" spans="1:5" x14ac:dyDescent="0.35">
      <c r="A5"/>
    </row>
    <row r="6" spans="1:5" ht="31" x14ac:dyDescent="0.7">
      <c r="A6"/>
      <c r="B6" s="331" t="s">
        <v>23</v>
      </c>
      <c r="C6" s="331"/>
      <c r="D6" s="331"/>
      <c r="E6" s="331"/>
    </row>
    <row r="7" spans="1:5" ht="18.5" x14ac:dyDescent="0.45">
      <c r="A7" s="34"/>
      <c r="B7" s="35" t="s">
        <v>24</v>
      </c>
      <c r="C7" s="274" t="s">
        <v>25</v>
      </c>
      <c r="D7" s="274" t="s">
        <v>489</v>
      </c>
      <c r="E7" s="274" t="s">
        <v>26</v>
      </c>
    </row>
    <row r="8" spans="1:5" ht="18.5" x14ac:dyDescent="0.45">
      <c r="A8" s="36" t="s">
        <v>27</v>
      </c>
      <c r="B8" s="37">
        <v>15</v>
      </c>
      <c r="C8" s="38">
        <f>'4. Resilience'!F2</f>
        <v>0</v>
      </c>
      <c r="D8" s="316" t="str">
        <f>IF(C8&gt;=10, "Y","")</f>
        <v/>
      </c>
      <c r="E8" s="23"/>
    </row>
    <row r="9" spans="1:5" ht="18.5" x14ac:dyDescent="0.45">
      <c r="A9" s="39" t="s">
        <v>28</v>
      </c>
      <c r="B9" s="37">
        <v>15</v>
      </c>
      <c r="C9" s="38">
        <f>'5. Whole Life Carbon'!H2</f>
        <v>0</v>
      </c>
      <c r="D9" s="316" t="str">
        <f>IF(C9&gt;=10, "Y","")</f>
        <v/>
      </c>
      <c r="E9" s="23"/>
    </row>
    <row r="10" spans="1:5" ht="18.5" x14ac:dyDescent="0.45">
      <c r="A10" s="40" t="s">
        <v>29</v>
      </c>
      <c r="B10" s="37">
        <v>15</v>
      </c>
      <c r="C10" s="38">
        <f>'6. Health&amp;Wellbeing'!H2</f>
        <v>0</v>
      </c>
      <c r="D10" s="316" t="str">
        <f>IF(C10&gt;=10, "Y","")</f>
        <v/>
      </c>
      <c r="E10" s="23"/>
    </row>
    <row r="11" spans="1:5" ht="18.5" x14ac:dyDescent="0.45">
      <c r="A11" s="41" t="s">
        <v>30</v>
      </c>
      <c r="B11" s="37">
        <v>15</v>
      </c>
      <c r="C11" s="38">
        <f>'7. Intelligence'!F2</f>
        <v>0</v>
      </c>
      <c r="D11" s="316" t="str">
        <f>IF(C11&gt;9.99,"Y","")</f>
        <v/>
      </c>
      <c r="E11" s="23"/>
    </row>
    <row r="12" spans="1:5" ht="18.5" x14ac:dyDescent="0.45">
      <c r="A12" s="275" t="s">
        <v>31</v>
      </c>
      <c r="B12" s="37">
        <v>15</v>
      </c>
      <c r="C12" s="315">
        <f>D32</f>
        <v>0</v>
      </c>
      <c r="D12" s="316" t="str">
        <f>IF('8. Maintainability'!C64="Yes","Y","")</f>
        <v/>
      </c>
      <c r="E12" s="23"/>
    </row>
    <row r="13" spans="1:5" ht="18.5" x14ac:dyDescent="0.45">
      <c r="A13" s="42" t="s">
        <v>32</v>
      </c>
      <c r="B13" s="274">
        <v>75</v>
      </c>
      <c r="C13" s="38">
        <f>SUM(C8:C12)</f>
        <v>0</v>
      </c>
      <c r="D13" s="43"/>
      <c r="E13" s="23"/>
    </row>
    <row r="14" spans="1:5" x14ac:dyDescent="0.35">
      <c r="A14"/>
      <c r="B14"/>
      <c r="C14"/>
      <c r="D14"/>
    </row>
    <row r="15" spans="1:5" x14ac:dyDescent="0.35">
      <c r="A15"/>
      <c r="B15"/>
      <c r="C15"/>
      <c r="D15"/>
    </row>
    <row r="16" spans="1:5" x14ac:dyDescent="0.35">
      <c r="A16"/>
      <c r="B16"/>
      <c r="C16"/>
      <c r="D16"/>
    </row>
    <row r="17" spans="1:4" ht="18.5" x14ac:dyDescent="0.45">
      <c r="A17" s="329" t="s">
        <v>33</v>
      </c>
      <c r="B17" s="329"/>
      <c r="C17" s="274" t="s">
        <v>24</v>
      </c>
      <c r="D17" s="274" t="s">
        <v>25</v>
      </c>
    </row>
    <row r="18" spans="1:4" ht="18.5" x14ac:dyDescent="0.45">
      <c r="A18" s="36" t="s">
        <v>34</v>
      </c>
      <c r="B18" s="36" t="s">
        <v>35</v>
      </c>
      <c r="C18" s="37">
        <v>5</v>
      </c>
      <c r="D18" s="38">
        <f>'4. Resilience'!F3</f>
        <v>0</v>
      </c>
    </row>
    <row r="19" spans="1:4" ht="18.5" x14ac:dyDescent="0.45">
      <c r="A19" s="36" t="s">
        <v>36</v>
      </c>
      <c r="B19" s="36" t="s">
        <v>37</v>
      </c>
      <c r="C19" s="37">
        <v>5</v>
      </c>
      <c r="D19" s="37">
        <f>'4. Resilience'!F28</f>
        <v>0</v>
      </c>
    </row>
    <row r="20" spans="1:4" ht="18.5" x14ac:dyDescent="0.45">
      <c r="A20" s="36" t="s">
        <v>38</v>
      </c>
      <c r="B20" s="36" t="s">
        <v>39</v>
      </c>
      <c r="C20" s="37">
        <v>5</v>
      </c>
      <c r="D20" s="38">
        <f>'4. Resilience'!F54</f>
        <v>0</v>
      </c>
    </row>
    <row r="21" spans="1:4" ht="18.5" x14ac:dyDescent="0.45">
      <c r="A21" s="39" t="s">
        <v>40</v>
      </c>
      <c r="B21" s="39" t="s">
        <v>41</v>
      </c>
      <c r="C21" s="37">
        <v>5</v>
      </c>
      <c r="D21" s="37">
        <f>'5. Whole Life Carbon'!H3</f>
        <v>0</v>
      </c>
    </row>
    <row r="22" spans="1:4" ht="18.5" x14ac:dyDescent="0.45">
      <c r="A22" s="39" t="s">
        <v>42</v>
      </c>
      <c r="B22" s="39" t="s">
        <v>43</v>
      </c>
      <c r="C22" s="37">
        <v>5</v>
      </c>
      <c r="D22" s="37">
        <f>'5. Whole Life Carbon'!H30</f>
        <v>0</v>
      </c>
    </row>
    <row r="23" spans="1:4" ht="18.5" x14ac:dyDescent="0.45">
      <c r="A23" s="39" t="s">
        <v>44</v>
      </c>
      <c r="B23" s="39" t="s">
        <v>45</v>
      </c>
      <c r="C23" s="37">
        <v>5</v>
      </c>
      <c r="D23" s="37">
        <f>'5. Whole Life Carbon'!H69</f>
        <v>0</v>
      </c>
    </row>
    <row r="24" spans="1:4" ht="18.5" x14ac:dyDescent="0.45">
      <c r="A24" s="40" t="s">
        <v>46</v>
      </c>
      <c r="B24" s="40" t="s">
        <v>47</v>
      </c>
      <c r="C24" s="37">
        <v>5</v>
      </c>
      <c r="D24" s="37">
        <f>'6. Health&amp;Wellbeing'!H3</f>
        <v>0</v>
      </c>
    </row>
    <row r="25" spans="1:4" ht="18.5" x14ac:dyDescent="0.45">
      <c r="A25" s="40" t="s">
        <v>48</v>
      </c>
      <c r="B25" s="40" t="s">
        <v>49</v>
      </c>
      <c r="C25" s="37">
        <v>5</v>
      </c>
      <c r="D25" s="37">
        <f>'6. Health&amp;Wellbeing'!H40</f>
        <v>0</v>
      </c>
    </row>
    <row r="26" spans="1:4" ht="18.5" x14ac:dyDescent="0.45">
      <c r="A26" s="40" t="s">
        <v>50</v>
      </c>
      <c r="B26" s="40" t="s">
        <v>51</v>
      </c>
      <c r="C26" s="37">
        <v>5</v>
      </c>
      <c r="D26" s="37">
        <f>'6. Health&amp;Wellbeing'!H65</f>
        <v>0</v>
      </c>
    </row>
    <row r="27" spans="1:4" ht="18.5" x14ac:dyDescent="0.45">
      <c r="A27" s="41" t="s">
        <v>52</v>
      </c>
      <c r="B27" s="41" t="s">
        <v>53</v>
      </c>
      <c r="C27" s="37">
        <v>5</v>
      </c>
      <c r="D27" s="37">
        <f>'7. Intelligence'!F3</f>
        <v>0</v>
      </c>
    </row>
    <row r="28" spans="1:4" ht="18.5" x14ac:dyDescent="0.45">
      <c r="A28" s="41" t="s">
        <v>54</v>
      </c>
      <c r="B28" s="41" t="s">
        <v>55</v>
      </c>
      <c r="C28" s="37">
        <v>5</v>
      </c>
      <c r="D28" s="37">
        <f>'7. Intelligence'!F20</f>
        <v>0</v>
      </c>
    </row>
    <row r="29" spans="1:4" ht="18.5" x14ac:dyDescent="0.45">
      <c r="A29" s="41" t="s">
        <v>56</v>
      </c>
      <c r="B29" s="41" t="s">
        <v>57</v>
      </c>
      <c r="C29" s="37">
        <v>5</v>
      </c>
      <c r="D29" s="37">
        <f>'7. Intelligence'!F31</f>
        <v>0</v>
      </c>
    </row>
    <row r="30" spans="1:4" x14ac:dyDescent="0.35">
      <c r="A30"/>
      <c r="B30"/>
      <c r="C30"/>
      <c r="D30"/>
    </row>
    <row r="31" spans="1:4" ht="37" x14ac:dyDescent="0.35">
      <c r="A31" s="330" t="s">
        <v>58</v>
      </c>
      <c r="B31" s="44" t="s">
        <v>59</v>
      </c>
      <c r="C31" s="44" t="s">
        <v>60</v>
      </c>
      <c r="D31" s="44" t="s">
        <v>61</v>
      </c>
    </row>
    <row r="32" spans="1:4" ht="18.75" customHeight="1" x14ac:dyDescent="0.35">
      <c r="A32" s="330"/>
      <c r="B32" s="45">
        <f>'8. Maintainability'!C7</f>
        <v>71</v>
      </c>
      <c r="C32" s="45">
        <f>'8. Maintainability'!G61</f>
        <v>0</v>
      </c>
      <c r="D32" s="45">
        <f>'8. Maintainability'!C63</f>
        <v>0</v>
      </c>
    </row>
  </sheetData>
  <sheetProtection formatCells="0" selectLockedCells="1"/>
  <mergeCells count="3">
    <mergeCell ref="A17:B17"/>
    <mergeCell ref="A31:A32"/>
    <mergeCell ref="B6:E6"/>
  </mergeCell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zoomScaleNormal="100" workbookViewId="0">
      <selection activeCell="C5" sqref="C5"/>
    </sheetView>
  </sheetViews>
  <sheetFormatPr defaultColWidth="9.1796875" defaultRowHeight="14.5" x14ac:dyDescent="0.35"/>
  <cols>
    <col min="1" max="1" width="8.7265625" style="273" customWidth="1"/>
    <col min="2" max="2" width="65.7265625" style="273" customWidth="1"/>
    <col min="3" max="4" width="10.7265625" style="273" customWidth="1"/>
    <col min="5" max="6" width="50.7265625" style="273" customWidth="1"/>
    <col min="7" max="7" width="15.54296875" style="273" customWidth="1"/>
    <col min="8" max="8" width="17.26953125" style="273" customWidth="1"/>
    <col min="9" max="16384" width="9.1796875" style="273"/>
  </cols>
  <sheetData>
    <row r="1" spans="1:4" ht="31" x14ac:dyDescent="0.35">
      <c r="A1" s="335" t="s">
        <v>62</v>
      </c>
      <c r="B1" s="335"/>
      <c r="C1" s="46" t="s">
        <v>63</v>
      </c>
      <c r="D1" s="46" t="s">
        <v>64</v>
      </c>
    </row>
    <row r="2" spans="1:4" ht="21" x14ac:dyDescent="0.35">
      <c r="A2" s="334" t="s">
        <v>65</v>
      </c>
      <c r="B2" s="334"/>
      <c r="C2" s="47"/>
      <c r="D2" s="47"/>
    </row>
    <row r="3" spans="1:4" ht="15.5" x14ac:dyDescent="0.35">
      <c r="A3" s="43"/>
      <c r="B3" s="7" t="s">
        <v>66</v>
      </c>
      <c r="C3" s="18"/>
      <c r="D3" s="48" t="s">
        <v>67</v>
      </c>
    </row>
    <row r="4" spans="1:4" ht="15.5" x14ac:dyDescent="0.35">
      <c r="A4" s="333" t="s">
        <v>69</v>
      </c>
      <c r="B4" s="333"/>
      <c r="C4" s="49"/>
      <c r="D4" s="49"/>
    </row>
    <row r="5" spans="1:4" ht="15.5" x14ac:dyDescent="0.35">
      <c r="A5" s="276" t="s">
        <v>70</v>
      </c>
      <c r="B5" s="50" t="s">
        <v>481</v>
      </c>
      <c r="C5" s="18"/>
      <c r="D5" s="48" t="s">
        <v>68</v>
      </c>
    </row>
    <row r="6" spans="1:4" ht="33" customHeight="1" x14ac:dyDescent="0.35">
      <c r="A6" s="332" t="s">
        <v>71</v>
      </c>
      <c r="B6" s="336" t="s">
        <v>496</v>
      </c>
      <c r="C6" s="18"/>
      <c r="D6" s="87" t="s">
        <v>497</v>
      </c>
    </row>
    <row r="7" spans="1:4" ht="30.5" customHeight="1" x14ac:dyDescent="0.35">
      <c r="A7" s="332"/>
      <c r="B7" s="336"/>
      <c r="C7" s="18"/>
      <c r="D7" s="48" t="s">
        <v>72</v>
      </c>
    </row>
    <row r="8" spans="1:4" ht="15.5" x14ac:dyDescent="0.35">
      <c r="A8" s="332" t="s">
        <v>73</v>
      </c>
      <c r="B8" s="8" t="s">
        <v>495</v>
      </c>
      <c r="C8" s="18"/>
      <c r="D8" s="48" t="s">
        <v>68</v>
      </c>
    </row>
    <row r="9" spans="1:4" ht="15.5" x14ac:dyDescent="0.35">
      <c r="A9" s="332"/>
      <c r="B9" s="8" t="s">
        <v>74</v>
      </c>
      <c r="C9" s="18"/>
      <c r="D9" s="48" t="s">
        <v>68</v>
      </c>
    </row>
    <row r="10" spans="1:4" ht="15.5" x14ac:dyDescent="0.35">
      <c r="A10" s="332" t="s">
        <v>75</v>
      </c>
      <c r="B10" s="8" t="s">
        <v>498</v>
      </c>
      <c r="C10" s="322"/>
      <c r="D10" s="48"/>
    </row>
    <row r="11" spans="1:4" ht="15.5" x14ac:dyDescent="0.35">
      <c r="A11" s="332"/>
      <c r="B11" s="23" t="s">
        <v>499</v>
      </c>
      <c r="C11" s="18"/>
      <c r="D11" s="48" t="s">
        <v>68</v>
      </c>
    </row>
    <row r="12" spans="1:4" ht="15.5" x14ac:dyDescent="0.35">
      <c r="A12" s="332"/>
      <c r="B12" s="8" t="s">
        <v>500</v>
      </c>
      <c r="C12" s="18"/>
      <c r="D12" s="48" t="s">
        <v>68</v>
      </c>
    </row>
    <row r="13" spans="1:4" ht="15.5" x14ac:dyDescent="0.35">
      <c r="A13" s="332"/>
      <c r="B13" s="8" t="s">
        <v>508</v>
      </c>
      <c r="C13" s="18"/>
      <c r="D13" s="48" t="s">
        <v>68</v>
      </c>
    </row>
    <row r="14" spans="1:4" ht="15.5" x14ac:dyDescent="0.35">
      <c r="A14" s="276" t="s">
        <v>77</v>
      </c>
      <c r="B14" s="23" t="s">
        <v>501</v>
      </c>
      <c r="C14" s="18"/>
      <c r="D14" s="48" t="s">
        <v>67</v>
      </c>
    </row>
    <row r="15" spans="1:4" ht="15.5" x14ac:dyDescent="0.35">
      <c r="A15" s="276" t="s">
        <v>79</v>
      </c>
      <c r="B15" s="8" t="s">
        <v>502</v>
      </c>
      <c r="C15" s="18"/>
      <c r="D15" s="48" t="s">
        <v>67</v>
      </c>
    </row>
    <row r="16" spans="1:4" ht="15.5" x14ac:dyDescent="0.35">
      <c r="A16" s="276" t="s">
        <v>80</v>
      </c>
      <c r="B16" s="8" t="s">
        <v>76</v>
      </c>
      <c r="C16" s="18"/>
      <c r="D16" s="48" t="s">
        <v>67</v>
      </c>
    </row>
    <row r="17" spans="1:4" ht="15.5" x14ac:dyDescent="0.35">
      <c r="A17" s="276" t="s">
        <v>82</v>
      </c>
      <c r="B17" s="8" t="s">
        <v>78</v>
      </c>
      <c r="C17" s="18"/>
      <c r="D17" s="48" t="s">
        <v>67</v>
      </c>
    </row>
    <row r="18" spans="1:4" ht="15.5" x14ac:dyDescent="0.35">
      <c r="A18" s="276" t="s">
        <v>505</v>
      </c>
      <c r="B18" s="8" t="s">
        <v>503</v>
      </c>
      <c r="C18" s="18"/>
      <c r="D18" s="48" t="s">
        <v>67</v>
      </c>
    </row>
    <row r="19" spans="1:4" ht="15.5" x14ac:dyDescent="0.35">
      <c r="A19" s="276" t="s">
        <v>506</v>
      </c>
      <c r="B19" s="8" t="s">
        <v>504</v>
      </c>
      <c r="C19" s="18"/>
      <c r="D19" s="48" t="s">
        <v>72</v>
      </c>
    </row>
    <row r="20" spans="1:4" ht="31" x14ac:dyDescent="0.35">
      <c r="A20" s="276" t="s">
        <v>507</v>
      </c>
      <c r="B20" s="9" t="s">
        <v>81</v>
      </c>
      <c r="C20" s="52"/>
      <c r="D20" s="48" t="s">
        <v>68</v>
      </c>
    </row>
  </sheetData>
  <sheetProtection algorithmName="SHA-512" hashValue="O2Ty4FTG5OFkQEMw4wc/74W7fOALD1G/1bNwxk4Mu/ulah1LghX+G6VO477iDcvccxXqnIv1V/BpmCCGyuKW8w==" saltValue="ffbEgTr07hgQE/JO9kK2FA==" spinCount="100000" sheet="1" objects="1" scenarios="1" formatCells="0" selectLockedCells="1"/>
  <mergeCells count="7">
    <mergeCell ref="A10:A13"/>
    <mergeCell ref="A4:B4"/>
    <mergeCell ref="A2:B2"/>
    <mergeCell ref="A1:B1"/>
    <mergeCell ref="A8:A9"/>
    <mergeCell ref="A6:A7"/>
    <mergeCell ref="B6:B7"/>
  </mergeCells>
  <dataValidations count="10">
    <dataValidation type="decimal" allowBlank="1" showInputMessage="1" showErrorMessage="1" sqref="C7 C19" xr:uid="{00000000-0002-0000-0200-000000000000}">
      <formula1>0</formula1>
      <formula2>100</formula2>
    </dataValidation>
    <dataValidation type="list" allowBlank="1" showInputMessage="1" showErrorMessage="1" sqref="C3 C14:C18" xr:uid="{00000000-0002-0000-0200-000001000000}">
      <formula1>"Y,N"</formula1>
    </dataValidation>
    <dataValidation type="decimal" allowBlank="1" showInputMessage="1" showErrorMessage="1" sqref="C10" xr:uid="{00000000-0002-0000-0200-000002000000}">
      <formula1>0</formula1>
      <formula2>1000</formula2>
    </dataValidation>
    <dataValidation type="whole" allowBlank="1" showInputMessage="1" showErrorMessage="1" sqref="C9 C12" xr:uid="{2B8B7263-8537-42EC-BEDA-6681D481AFA1}">
      <formula1>0</formula1>
      <formula2>5</formula2>
    </dataValidation>
    <dataValidation type="decimal" allowBlank="1" showInputMessage="1" showErrorMessage="1" sqref="C8" xr:uid="{CBD0ECD1-FF5F-42D2-9432-6F5CAE91D035}">
      <formula1>0</formula1>
      <formula2>10</formula2>
    </dataValidation>
    <dataValidation type="whole" allowBlank="1" showInputMessage="1" showErrorMessage="1" sqref="C11" xr:uid="{396E0982-B15C-4DDB-96C5-089E68DFCDF9}">
      <formula1>0</formula1>
      <formula2>4</formula2>
    </dataValidation>
    <dataValidation type="whole" allowBlank="1" showInputMessage="1" showErrorMessage="1" sqref="C13" xr:uid="{53F3AF35-9F24-438D-8230-188DBE439EBD}">
      <formula1>0</formula1>
      <formula2>10</formula2>
    </dataValidation>
    <dataValidation type="list" allowBlank="1" showInputMessage="1" showErrorMessage="1" sqref="C6" xr:uid="{8E364482-258C-4225-A9F1-33AD3AC3926F}">
      <formula1>"1,2,3"</formula1>
    </dataValidation>
    <dataValidation type="decimal" allowBlank="1" showInputMessage="1" showErrorMessage="1" sqref="C20" xr:uid="{C58833B9-29B9-44F2-9557-24C4A88C5367}">
      <formula1>0</formula1>
      <formula2>1000000</formula2>
    </dataValidation>
    <dataValidation type="decimal" allowBlank="1" showInputMessage="1" showErrorMessage="1" sqref="C5" xr:uid="{7F472268-74DD-410C-9CCC-704E286FD935}">
      <formula1>0</formula1>
      <formula2>100000</formula2>
    </dataValidation>
  </dataValidation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workbookViewId="0">
      <selection activeCell="C50" sqref="C50"/>
    </sheetView>
  </sheetViews>
  <sheetFormatPr defaultColWidth="9.1796875" defaultRowHeight="15.5" x14ac:dyDescent="0.35"/>
  <cols>
    <col min="1" max="1" width="8.26953125" style="295" customWidth="1"/>
    <col min="2" max="2" width="65.7265625" style="273" customWidth="1"/>
    <col min="3" max="4" width="10.7265625" style="273" customWidth="1"/>
    <col min="5" max="5" width="18.1796875" style="273" customWidth="1"/>
    <col min="6" max="6" width="10.7265625" style="273" customWidth="1"/>
    <col min="7" max="7" width="30.7265625" style="273" customWidth="1"/>
    <col min="8" max="8" width="8.7265625" style="273" customWidth="1"/>
    <col min="9" max="9" width="10.7265625" style="273" customWidth="1"/>
    <col min="10" max="11" width="15.7265625" style="273" customWidth="1"/>
    <col min="12" max="12" width="50.7265625" style="273" customWidth="1"/>
    <col min="13" max="16384" width="9.1796875" style="273"/>
  </cols>
  <sheetData>
    <row r="1" spans="1:11" ht="46.5" x14ac:dyDescent="0.35">
      <c r="A1" s="2"/>
      <c r="B1" s="3" t="s">
        <v>83</v>
      </c>
      <c r="C1" s="46" t="s">
        <v>63</v>
      </c>
      <c r="D1" s="46" t="s">
        <v>64</v>
      </c>
      <c r="E1" s="53" t="s">
        <v>84</v>
      </c>
      <c r="F1" s="46" t="s">
        <v>85</v>
      </c>
      <c r="G1" s="3" t="s">
        <v>86</v>
      </c>
    </row>
    <row r="2" spans="1:11" ht="21" x14ac:dyDescent="0.35">
      <c r="A2" s="342" t="s">
        <v>27</v>
      </c>
      <c r="B2" s="343"/>
      <c r="C2" s="343"/>
      <c r="D2" s="344"/>
      <c r="E2" s="54">
        <v>15</v>
      </c>
      <c r="F2" s="55">
        <f>MIN(SUM(F3,F28,F54,F66), 15)</f>
        <v>0</v>
      </c>
      <c r="G2" s="56" t="s">
        <v>87</v>
      </c>
      <c r="H2" s="337"/>
      <c r="I2" s="338"/>
      <c r="J2" s="338"/>
      <c r="K2" s="338"/>
    </row>
    <row r="3" spans="1:11" x14ac:dyDescent="0.35">
      <c r="A3" s="57" t="s">
        <v>88</v>
      </c>
      <c r="B3" s="373" t="s">
        <v>89</v>
      </c>
      <c r="C3" s="373"/>
      <c r="D3" s="373"/>
      <c r="E3" s="58">
        <v>5</v>
      </c>
      <c r="F3" s="59">
        <f>MIN(SUM(F27,F23,F20,F16,F8),5)</f>
        <v>0</v>
      </c>
      <c r="G3" s="57"/>
      <c r="H3" s="337"/>
      <c r="I3" s="338"/>
      <c r="J3" s="338"/>
      <c r="K3" s="338"/>
    </row>
    <row r="4" spans="1:11" x14ac:dyDescent="0.35">
      <c r="A4" s="60" t="s">
        <v>90</v>
      </c>
      <c r="B4" s="61" t="s">
        <v>91</v>
      </c>
      <c r="C4" s="62"/>
      <c r="D4" s="63"/>
      <c r="E4" s="64"/>
      <c r="F4" s="65"/>
      <c r="G4" s="66"/>
      <c r="H4" s="337"/>
      <c r="I4" s="338"/>
      <c r="J4" s="338"/>
      <c r="K4" s="338"/>
    </row>
    <row r="5" spans="1:11" x14ac:dyDescent="0.35">
      <c r="A5" s="67" t="s">
        <v>92</v>
      </c>
      <c r="B5" s="68" t="s">
        <v>93</v>
      </c>
      <c r="C5" s="69"/>
      <c r="D5" s="70"/>
      <c r="E5" s="71"/>
      <c r="F5" s="72"/>
      <c r="G5" s="73"/>
      <c r="H5" s="337"/>
      <c r="I5" s="338"/>
      <c r="J5" s="338"/>
      <c r="K5" s="338"/>
    </row>
    <row r="6" spans="1:11" ht="31" x14ac:dyDescent="0.35">
      <c r="A6" s="6" t="s">
        <v>70</v>
      </c>
      <c r="B6" s="7" t="s">
        <v>94</v>
      </c>
      <c r="C6" s="4"/>
      <c r="D6" s="48" t="s">
        <v>67</v>
      </c>
      <c r="E6" s="282" t="s">
        <v>95</v>
      </c>
      <c r="F6" s="74">
        <f>IF(C6="Y",1,0)</f>
        <v>0</v>
      </c>
      <c r="G6" s="160"/>
      <c r="H6" s="337"/>
      <c r="I6" s="338"/>
      <c r="J6" s="338"/>
      <c r="K6" s="338"/>
    </row>
    <row r="7" spans="1:11" ht="46.5" x14ac:dyDescent="0.35">
      <c r="A7" s="6" t="s">
        <v>71</v>
      </c>
      <c r="B7" s="7" t="s">
        <v>96</v>
      </c>
      <c r="C7" s="4"/>
      <c r="D7" s="48" t="s">
        <v>67</v>
      </c>
      <c r="E7" s="280" t="s">
        <v>95</v>
      </c>
      <c r="F7" s="74">
        <f>IF((C7="Y")*AND(C6="Y"),1,0)</f>
        <v>0</v>
      </c>
      <c r="G7" s="160"/>
      <c r="H7" s="337"/>
      <c r="I7" s="338"/>
      <c r="J7" s="338"/>
      <c r="K7" s="338"/>
    </row>
    <row r="8" spans="1:11" x14ac:dyDescent="0.35">
      <c r="A8" s="75"/>
      <c r="B8" s="345" t="s">
        <v>97</v>
      </c>
      <c r="C8" s="346"/>
      <c r="D8" s="346"/>
      <c r="E8" s="346"/>
      <c r="F8" s="76">
        <f>MIN((F6+F7),2)</f>
        <v>0</v>
      </c>
      <c r="G8" s="77"/>
      <c r="H8" s="337"/>
      <c r="I8" s="338"/>
      <c r="J8" s="338"/>
      <c r="K8" s="338"/>
    </row>
    <row r="9" spans="1:11" x14ac:dyDescent="0.35">
      <c r="A9" s="78" t="s">
        <v>98</v>
      </c>
      <c r="B9" s="79" t="s">
        <v>99</v>
      </c>
      <c r="C9" s="80"/>
      <c r="D9" s="81"/>
      <c r="E9" s="71"/>
      <c r="F9" s="67"/>
      <c r="G9" s="73"/>
      <c r="H9" s="337"/>
      <c r="I9" s="338"/>
      <c r="J9" s="338"/>
      <c r="K9" s="338"/>
    </row>
    <row r="10" spans="1:11" ht="31" x14ac:dyDescent="0.35">
      <c r="A10" s="355" t="s">
        <v>70</v>
      </c>
      <c r="B10" s="82" t="s">
        <v>100</v>
      </c>
      <c r="C10" s="83"/>
      <c r="D10" s="84"/>
      <c r="E10" s="85"/>
      <c r="F10" s="8"/>
      <c r="G10" s="162"/>
      <c r="H10" s="337"/>
      <c r="I10" s="338"/>
      <c r="J10" s="338"/>
      <c r="K10" s="338"/>
    </row>
    <row r="11" spans="1:11" x14ac:dyDescent="0.35">
      <c r="A11" s="356"/>
      <c r="B11" s="86" t="s">
        <v>101</v>
      </c>
      <c r="C11" s="4"/>
      <c r="D11" s="48" t="s">
        <v>67</v>
      </c>
      <c r="E11" s="280" t="s">
        <v>95</v>
      </c>
      <c r="F11" s="87">
        <f t="shared" ref="F11:F13" si="0">IF(C11="Y",1,0)</f>
        <v>0</v>
      </c>
      <c r="G11" s="162"/>
      <c r="H11" s="337"/>
      <c r="I11" s="338"/>
      <c r="J11" s="338"/>
      <c r="K11" s="338"/>
    </row>
    <row r="12" spans="1:11" x14ac:dyDescent="0.35">
      <c r="A12" s="356"/>
      <c r="B12" s="86" t="s">
        <v>102</v>
      </c>
      <c r="C12" s="4"/>
      <c r="D12" s="48" t="s">
        <v>67</v>
      </c>
      <c r="E12" s="280" t="s">
        <v>95</v>
      </c>
      <c r="F12" s="87">
        <f t="shared" si="0"/>
        <v>0</v>
      </c>
      <c r="G12" s="162"/>
      <c r="H12" s="337"/>
      <c r="I12" s="338"/>
      <c r="J12" s="338"/>
      <c r="K12" s="338"/>
    </row>
    <row r="13" spans="1:11" x14ac:dyDescent="0.35">
      <c r="A13" s="356"/>
      <c r="B13" s="86" t="s">
        <v>103</v>
      </c>
      <c r="C13" s="4"/>
      <c r="D13" s="48" t="s">
        <v>67</v>
      </c>
      <c r="E13" s="280" t="s">
        <v>95</v>
      </c>
      <c r="F13" s="87">
        <f t="shared" si="0"/>
        <v>0</v>
      </c>
      <c r="G13" s="162"/>
      <c r="H13" s="337"/>
      <c r="I13" s="338"/>
      <c r="J13" s="338"/>
      <c r="K13" s="338"/>
    </row>
    <row r="14" spans="1:11" ht="24.75" customHeight="1" x14ac:dyDescent="0.35">
      <c r="A14" s="357" t="s">
        <v>71</v>
      </c>
      <c r="B14" s="358" t="s">
        <v>104</v>
      </c>
      <c r="C14" s="4"/>
      <c r="D14" s="48" t="s">
        <v>67</v>
      </c>
      <c r="E14" s="364" t="s">
        <v>105</v>
      </c>
      <c r="F14" s="374">
        <f>IF(C15&gt;=90,1,IF(C14="Y",0.5,0))</f>
        <v>0</v>
      </c>
      <c r="G14" s="162"/>
      <c r="H14" s="337"/>
      <c r="I14" s="338"/>
      <c r="J14" s="338"/>
      <c r="K14" s="338"/>
    </row>
    <row r="15" spans="1:11" ht="23.25" customHeight="1" x14ac:dyDescent="0.35">
      <c r="A15" s="357"/>
      <c r="B15" s="359"/>
      <c r="C15" s="161"/>
      <c r="D15" s="51" t="s">
        <v>72</v>
      </c>
      <c r="E15" s="365"/>
      <c r="F15" s="375"/>
      <c r="G15" s="160"/>
      <c r="H15" s="337"/>
      <c r="I15" s="338"/>
      <c r="J15" s="338"/>
      <c r="K15" s="338"/>
    </row>
    <row r="16" spans="1:11" x14ac:dyDescent="0.35">
      <c r="A16" s="88"/>
      <c r="B16" s="345" t="s">
        <v>106</v>
      </c>
      <c r="C16" s="346"/>
      <c r="D16" s="346"/>
      <c r="E16" s="363"/>
      <c r="F16" s="76">
        <f>MIN(SUM(F11:F15),3)</f>
        <v>0</v>
      </c>
      <c r="G16" s="89"/>
      <c r="H16" s="337"/>
      <c r="I16" s="338"/>
      <c r="J16" s="338"/>
      <c r="K16" s="338"/>
    </row>
    <row r="17" spans="1:11" x14ac:dyDescent="0.35">
      <c r="A17" s="60" t="s">
        <v>107</v>
      </c>
      <c r="B17" s="90" t="s">
        <v>108</v>
      </c>
      <c r="C17" s="91"/>
      <c r="D17" s="92"/>
      <c r="E17" s="93"/>
      <c r="F17" s="94"/>
      <c r="G17" s="95"/>
      <c r="H17" s="337"/>
      <c r="I17" s="338"/>
      <c r="J17" s="338"/>
      <c r="K17" s="338"/>
    </row>
    <row r="18" spans="1:11" x14ac:dyDescent="0.35">
      <c r="A18" s="67" t="s">
        <v>109</v>
      </c>
      <c r="B18" s="96" t="s">
        <v>110</v>
      </c>
      <c r="C18" s="97"/>
      <c r="D18" s="98"/>
      <c r="E18" s="71"/>
      <c r="F18" s="99"/>
      <c r="G18" s="73"/>
      <c r="H18" s="337"/>
      <c r="I18" s="338"/>
      <c r="J18" s="338"/>
      <c r="K18" s="338"/>
    </row>
    <row r="19" spans="1:11" ht="108.5" x14ac:dyDescent="0.35">
      <c r="A19" s="8"/>
      <c r="B19" s="100" t="s">
        <v>111</v>
      </c>
      <c r="C19" s="4"/>
      <c r="D19" s="48" t="s">
        <v>67</v>
      </c>
      <c r="E19" s="282" t="s">
        <v>112</v>
      </c>
      <c r="F19" s="74">
        <f>IF(C19="Y",2,0)</f>
        <v>0</v>
      </c>
      <c r="G19" s="160"/>
      <c r="H19" s="337"/>
      <c r="I19" s="338"/>
      <c r="J19" s="338"/>
      <c r="K19" s="338"/>
    </row>
    <row r="20" spans="1:11" x14ac:dyDescent="0.35">
      <c r="A20" s="101"/>
      <c r="B20" s="345" t="s">
        <v>113</v>
      </c>
      <c r="C20" s="346"/>
      <c r="D20" s="346"/>
      <c r="E20" s="346"/>
      <c r="F20" s="76">
        <f>F19</f>
        <v>0</v>
      </c>
      <c r="G20" s="102"/>
      <c r="H20" s="337"/>
      <c r="I20" s="338"/>
      <c r="J20" s="338"/>
      <c r="K20" s="338"/>
    </row>
    <row r="21" spans="1:11" x14ac:dyDescent="0.35">
      <c r="A21" s="67" t="s">
        <v>114</v>
      </c>
      <c r="B21" s="96" t="s">
        <v>115</v>
      </c>
      <c r="C21" s="103"/>
      <c r="D21" s="104"/>
      <c r="E21" s="71"/>
      <c r="F21" s="99"/>
      <c r="G21" s="73"/>
      <c r="H21" s="337"/>
      <c r="I21" s="338"/>
      <c r="J21" s="338"/>
      <c r="K21" s="338"/>
    </row>
    <row r="22" spans="1:11" ht="62" x14ac:dyDescent="0.35">
      <c r="A22" s="6"/>
      <c r="B22" s="105" t="s">
        <v>116</v>
      </c>
      <c r="C22" s="161"/>
      <c r="D22" s="51" t="s">
        <v>72</v>
      </c>
      <c r="E22" s="106" t="s">
        <v>117</v>
      </c>
      <c r="F22" s="107">
        <f>IF(AND(C22&gt;=50, C22&lt;80),0.5,0) + IF(C22&gt;=80,1,0)</f>
        <v>0</v>
      </c>
      <c r="G22" s="163"/>
      <c r="H22" s="337"/>
      <c r="I22" s="338"/>
      <c r="J22" s="338"/>
      <c r="K22" s="338"/>
    </row>
    <row r="23" spans="1:11" x14ac:dyDescent="0.35">
      <c r="A23" s="75"/>
      <c r="B23" s="345" t="s">
        <v>118</v>
      </c>
      <c r="C23" s="346"/>
      <c r="D23" s="346"/>
      <c r="E23" s="346"/>
      <c r="F23" s="108">
        <f>MIN(F22, 1)</f>
        <v>0</v>
      </c>
      <c r="G23" s="75"/>
      <c r="H23" s="337"/>
      <c r="I23" s="338"/>
      <c r="J23" s="338"/>
      <c r="K23" s="338"/>
    </row>
    <row r="24" spans="1:11" x14ac:dyDescent="0.35">
      <c r="A24" s="60" t="s">
        <v>119</v>
      </c>
      <c r="B24" s="90" t="s">
        <v>120</v>
      </c>
      <c r="C24" s="109"/>
      <c r="D24" s="110"/>
      <c r="E24" s="93"/>
      <c r="F24" s="93"/>
      <c r="G24" s="95"/>
      <c r="H24" s="337"/>
      <c r="I24" s="338"/>
      <c r="J24" s="338"/>
      <c r="K24" s="338"/>
    </row>
    <row r="25" spans="1:11" x14ac:dyDescent="0.35">
      <c r="A25" s="67" t="s">
        <v>119</v>
      </c>
      <c r="B25" s="96" t="s">
        <v>121</v>
      </c>
      <c r="C25" s="97"/>
      <c r="D25" s="98"/>
      <c r="E25" s="71"/>
      <c r="F25" s="111"/>
      <c r="G25" s="112"/>
      <c r="H25" s="337"/>
      <c r="I25" s="338"/>
      <c r="J25" s="338"/>
      <c r="K25" s="338"/>
    </row>
    <row r="26" spans="1:11" ht="46.5" x14ac:dyDescent="0.35">
      <c r="A26" s="8"/>
      <c r="B26" s="100" t="s">
        <v>122</v>
      </c>
      <c r="C26" s="113" t="s">
        <v>123</v>
      </c>
      <c r="D26" s="114" t="s">
        <v>123</v>
      </c>
      <c r="E26" s="114" t="s">
        <v>123</v>
      </c>
      <c r="F26" s="114" t="s">
        <v>123</v>
      </c>
      <c r="G26" s="160"/>
      <c r="H26" s="337"/>
      <c r="I26" s="338"/>
      <c r="J26" s="338"/>
      <c r="K26" s="338"/>
    </row>
    <row r="27" spans="1:11" x14ac:dyDescent="0.35">
      <c r="A27" s="77"/>
      <c r="B27" s="345" t="s">
        <v>124</v>
      </c>
      <c r="C27" s="346"/>
      <c r="D27" s="346"/>
      <c r="E27" s="346"/>
      <c r="F27" s="108">
        <f>0</f>
        <v>0</v>
      </c>
      <c r="G27" s="102"/>
      <c r="H27" s="337"/>
      <c r="I27" s="338"/>
      <c r="J27" s="338"/>
      <c r="K27" s="338"/>
    </row>
    <row r="28" spans="1:11" x14ac:dyDescent="0.35">
      <c r="A28" s="57" t="s">
        <v>125</v>
      </c>
      <c r="B28" s="360" t="s">
        <v>126</v>
      </c>
      <c r="C28" s="361"/>
      <c r="D28" s="362"/>
      <c r="E28" s="115">
        <v>5</v>
      </c>
      <c r="F28" s="116">
        <f>MIN(SUM(F53,F47,F39,F35),5)</f>
        <v>0</v>
      </c>
      <c r="G28" s="117"/>
      <c r="H28" s="337"/>
      <c r="I28" s="338"/>
      <c r="J28" s="338"/>
      <c r="K28" s="338"/>
    </row>
    <row r="29" spans="1:11" x14ac:dyDescent="0.35">
      <c r="A29" s="118" t="s">
        <v>127</v>
      </c>
      <c r="B29" s="350" t="s">
        <v>128</v>
      </c>
      <c r="C29" s="351"/>
      <c r="D29" s="119"/>
      <c r="E29" s="120"/>
      <c r="F29" s="121"/>
      <c r="G29" s="66"/>
      <c r="H29" s="337"/>
      <c r="I29" s="338"/>
      <c r="J29" s="338"/>
      <c r="K29" s="338"/>
    </row>
    <row r="30" spans="1:11" x14ac:dyDescent="0.35">
      <c r="A30" s="122" t="s">
        <v>129</v>
      </c>
      <c r="B30" s="123" t="s">
        <v>130</v>
      </c>
      <c r="C30" s="123"/>
      <c r="D30" s="124"/>
      <c r="E30" s="71"/>
      <c r="F30" s="125"/>
      <c r="G30" s="126"/>
      <c r="H30" s="337"/>
      <c r="I30" s="338"/>
      <c r="J30" s="338"/>
      <c r="K30" s="338"/>
    </row>
    <row r="31" spans="1:11" ht="31" x14ac:dyDescent="0.35">
      <c r="A31" s="347" t="s">
        <v>70</v>
      </c>
      <c r="B31" s="127" t="s">
        <v>131</v>
      </c>
      <c r="C31" s="128"/>
      <c r="D31" s="129"/>
      <c r="E31" s="129"/>
      <c r="F31" s="130"/>
      <c r="G31" s="160"/>
      <c r="I31" s="131"/>
      <c r="J31" s="132" t="s">
        <v>132</v>
      </c>
      <c r="K31" s="133"/>
    </row>
    <row r="32" spans="1:11" ht="27" customHeight="1" x14ac:dyDescent="0.35">
      <c r="A32" s="348"/>
      <c r="B32" s="129" t="s">
        <v>133</v>
      </c>
      <c r="C32" s="164"/>
      <c r="D32" s="51" t="s">
        <v>68</v>
      </c>
      <c r="E32" s="353" t="s">
        <v>134</v>
      </c>
      <c r="F32" s="371">
        <f>MIN(SUM(C32*0.55,C33*0.5),1)</f>
        <v>0</v>
      </c>
      <c r="G32" s="165"/>
      <c r="I32" s="135">
        <f>IF(C32&gt;0,C32*0.25,0)</f>
        <v>0</v>
      </c>
      <c r="J32" s="339">
        <f>IF(SUM(I32+I33)&gt;=0.5,"0.5",I32+I33)</f>
        <v>0</v>
      </c>
      <c r="K32" s="340" t="s">
        <v>135</v>
      </c>
    </row>
    <row r="33" spans="1:11" ht="25.5" customHeight="1" x14ac:dyDescent="0.35">
      <c r="A33" s="352"/>
      <c r="B33" s="129" t="s">
        <v>136</v>
      </c>
      <c r="C33" s="164"/>
      <c r="D33" s="51" t="s">
        <v>68</v>
      </c>
      <c r="E33" s="354"/>
      <c r="F33" s="372"/>
      <c r="G33" s="166"/>
      <c r="I33" s="135">
        <f>IF(C33&gt;0,C33*0.5,0)</f>
        <v>0</v>
      </c>
      <c r="J33" s="339"/>
      <c r="K33" s="341"/>
    </row>
    <row r="34" spans="1:11" ht="31" x14ac:dyDescent="0.35">
      <c r="A34" s="292" t="s">
        <v>71</v>
      </c>
      <c r="B34" s="129" t="s">
        <v>137</v>
      </c>
      <c r="C34" s="164"/>
      <c r="D34" s="51" t="s">
        <v>68</v>
      </c>
      <c r="E34" s="136" t="s">
        <v>138</v>
      </c>
      <c r="F34" s="74">
        <f>IF(I34&gt;=0.5,0.5,I34)</f>
        <v>0</v>
      </c>
      <c r="G34" s="166"/>
      <c r="I34" s="135">
        <f>IF(C34&gt;0,C34*0.25,0)</f>
        <v>0</v>
      </c>
      <c r="J34" s="137">
        <f>IF(I34&gt;=0.5,"0.5",I34)</f>
        <v>0</v>
      </c>
      <c r="K34" s="276" t="s">
        <v>135</v>
      </c>
    </row>
    <row r="35" spans="1:11" x14ac:dyDescent="0.35">
      <c r="A35" s="138"/>
      <c r="B35" s="345" t="s">
        <v>139</v>
      </c>
      <c r="C35" s="346"/>
      <c r="D35" s="346"/>
      <c r="E35" s="346"/>
      <c r="F35" s="139">
        <f>MIN(F32+F34,1)</f>
        <v>0</v>
      </c>
      <c r="G35" s="75"/>
      <c r="H35" s="337"/>
      <c r="I35" s="338"/>
      <c r="J35" s="338"/>
      <c r="K35" s="338"/>
    </row>
    <row r="36" spans="1:11" x14ac:dyDescent="0.35">
      <c r="A36" s="122" t="s">
        <v>140</v>
      </c>
      <c r="B36" s="123" t="s">
        <v>141</v>
      </c>
      <c r="C36" s="123"/>
      <c r="D36" s="123"/>
      <c r="E36" s="71"/>
      <c r="F36" s="140"/>
      <c r="G36" s="73"/>
      <c r="H36" s="337"/>
      <c r="I36" s="338"/>
      <c r="J36" s="338"/>
      <c r="K36" s="338"/>
    </row>
    <row r="37" spans="1:11" ht="46.5" x14ac:dyDescent="0.35">
      <c r="A37" s="281" t="s">
        <v>70</v>
      </c>
      <c r="B37" s="141" t="s">
        <v>142</v>
      </c>
      <c r="C37" s="296"/>
      <c r="D37" s="48" t="s">
        <v>67</v>
      </c>
      <c r="E37" s="282" t="s">
        <v>494</v>
      </c>
      <c r="F37" s="74">
        <f>IF(C37="Y",1.5,0)</f>
        <v>0</v>
      </c>
      <c r="G37" s="6"/>
      <c r="H37" s="337"/>
      <c r="I37" s="338"/>
      <c r="J37" s="338"/>
      <c r="K37" s="338"/>
    </row>
    <row r="38" spans="1:11" x14ac:dyDescent="0.35">
      <c r="A38" s="292" t="s">
        <v>71</v>
      </c>
      <c r="B38" s="142" t="s">
        <v>143</v>
      </c>
      <c r="C38" s="113" t="s">
        <v>123</v>
      </c>
      <c r="D38" s="143" t="s">
        <v>123</v>
      </c>
      <c r="E38" s="114" t="s">
        <v>123</v>
      </c>
      <c r="F38" s="143" t="s">
        <v>123</v>
      </c>
      <c r="G38" s="134"/>
      <c r="H38" s="337"/>
      <c r="I38" s="338"/>
      <c r="J38" s="338"/>
      <c r="K38" s="338"/>
    </row>
    <row r="39" spans="1:11" x14ac:dyDescent="0.35">
      <c r="A39" s="138"/>
      <c r="B39" s="345" t="s">
        <v>144</v>
      </c>
      <c r="C39" s="346"/>
      <c r="D39" s="346"/>
      <c r="E39" s="346"/>
      <c r="F39" s="76">
        <f>MIN(SUM(F37:F38),2)</f>
        <v>0</v>
      </c>
      <c r="G39" s="144"/>
      <c r="H39" s="337"/>
      <c r="I39" s="338"/>
      <c r="J39" s="338"/>
      <c r="K39" s="338"/>
    </row>
    <row r="40" spans="1:11" x14ac:dyDescent="0.35">
      <c r="A40" s="118" t="s">
        <v>145</v>
      </c>
      <c r="B40" s="145" t="s">
        <v>146</v>
      </c>
      <c r="C40" s="146"/>
      <c r="D40" s="119"/>
      <c r="E40" s="120"/>
      <c r="F40" s="121"/>
      <c r="G40" s="66"/>
      <c r="H40" s="337"/>
      <c r="I40" s="338"/>
      <c r="J40" s="338"/>
      <c r="K40" s="338"/>
    </row>
    <row r="41" spans="1:11" ht="31" x14ac:dyDescent="0.35">
      <c r="A41" s="122"/>
      <c r="B41" s="123" t="s">
        <v>147</v>
      </c>
      <c r="C41" s="123"/>
      <c r="D41" s="123"/>
      <c r="E41" s="147"/>
      <c r="F41" s="125"/>
      <c r="G41" s="126"/>
      <c r="H41" s="337"/>
      <c r="I41" s="338"/>
      <c r="J41" s="338"/>
      <c r="K41" s="338"/>
    </row>
    <row r="42" spans="1:11" x14ac:dyDescent="0.35">
      <c r="A42" s="347" t="s">
        <v>70</v>
      </c>
      <c r="B42" s="127" t="s">
        <v>148</v>
      </c>
      <c r="C42" s="128"/>
      <c r="D42" s="129"/>
      <c r="E42" s="114"/>
      <c r="F42" s="114"/>
      <c r="G42" s="160"/>
      <c r="H42" s="337"/>
      <c r="I42" s="338"/>
      <c r="J42" s="338"/>
      <c r="K42" s="338"/>
    </row>
    <row r="43" spans="1:11" x14ac:dyDescent="0.35">
      <c r="A43" s="348"/>
      <c r="B43" s="129" t="s">
        <v>149</v>
      </c>
      <c r="C43" s="4"/>
      <c r="D43" s="48" t="s">
        <v>67</v>
      </c>
      <c r="E43" s="282" t="s">
        <v>150</v>
      </c>
      <c r="F43" s="74">
        <f t="shared" ref="F43:F44" si="1">IF(C43="Y",0.5,0)</f>
        <v>0</v>
      </c>
      <c r="G43" s="165"/>
      <c r="H43" s="337"/>
      <c r="I43" s="338"/>
      <c r="J43" s="338"/>
      <c r="K43" s="338"/>
    </row>
    <row r="44" spans="1:11" x14ac:dyDescent="0.35">
      <c r="A44" s="348"/>
      <c r="B44" s="129" t="s">
        <v>151</v>
      </c>
      <c r="C44" s="4"/>
      <c r="D44" s="48" t="s">
        <v>67</v>
      </c>
      <c r="E44" s="282" t="s">
        <v>150</v>
      </c>
      <c r="F44" s="74">
        <f t="shared" si="1"/>
        <v>0</v>
      </c>
      <c r="G44" s="165"/>
      <c r="H44" s="337"/>
      <c r="I44" s="338"/>
      <c r="J44" s="338"/>
      <c r="K44" s="338"/>
    </row>
    <row r="45" spans="1:11" ht="33.75" customHeight="1" x14ac:dyDescent="0.35">
      <c r="A45" s="277" t="s">
        <v>71</v>
      </c>
      <c r="B45" s="148" t="s">
        <v>152</v>
      </c>
      <c r="C45" s="4"/>
      <c r="D45" s="48" t="s">
        <v>67</v>
      </c>
      <c r="E45" s="282" t="s">
        <v>95</v>
      </c>
      <c r="F45" s="74">
        <f>IF(C45="Y",1,0)</f>
        <v>0</v>
      </c>
      <c r="G45" s="167"/>
      <c r="H45" s="337"/>
      <c r="I45" s="338"/>
      <c r="J45" s="338"/>
      <c r="K45" s="338"/>
    </row>
    <row r="46" spans="1:11" ht="62" x14ac:dyDescent="0.35">
      <c r="A46" s="277" t="s">
        <v>73</v>
      </c>
      <c r="B46" s="148" t="s">
        <v>153</v>
      </c>
      <c r="C46" s="5"/>
      <c r="D46" s="149" t="s">
        <v>67</v>
      </c>
      <c r="E46" s="279" t="s">
        <v>95</v>
      </c>
      <c r="F46" s="74">
        <f>IF(C46="Y",1,0)</f>
        <v>0</v>
      </c>
      <c r="G46" s="165"/>
      <c r="H46" s="337"/>
      <c r="I46" s="338"/>
      <c r="J46" s="338"/>
      <c r="K46" s="338"/>
    </row>
    <row r="47" spans="1:11" x14ac:dyDescent="0.35">
      <c r="A47" s="138"/>
      <c r="B47" s="349" t="s">
        <v>154</v>
      </c>
      <c r="C47" s="349"/>
      <c r="D47" s="349"/>
      <c r="E47" s="349"/>
      <c r="F47" s="139">
        <f>MIN(F43+F44+F45+F46)</f>
        <v>0</v>
      </c>
      <c r="G47" s="77"/>
      <c r="H47" s="337"/>
      <c r="I47" s="338"/>
      <c r="J47" s="338"/>
      <c r="K47" s="338"/>
    </row>
    <row r="48" spans="1:11" x14ac:dyDescent="0.35">
      <c r="A48" s="118" t="s">
        <v>155</v>
      </c>
      <c r="B48" s="145" t="s">
        <v>156</v>
      </c>
      <c r="C48" s="146"/>
      <c r="D48" s="119"/>
      <c r="E48" s="120"/>
      <c r="F48" s="121"/>
      <c r="G48" s="66"/>
      <c r="H48" s="337"/>
      <c r="I48" s="338"/>
      <c r="J48" s="338"/>
      <c r="K48" s="338"/>
    </row>
    <row r="49" spans="1:11" ht="31" x14ac:dyDescent="0.35">
      <c r="A49" s="150"/>
      <c r="B49" s="151" t="s">
        <v>157</v>
      </c>
      <c r="C49" s="124"/>
      <c r="D49" s="124"/>
      <c r="E49" s="152"/>
      <c r="F49" s="125"/>
      <c r="G49" s="126"/>
      <c r="H49" s="337"/>
      <c r="I49" s="338"/>
      <c r="J49" s="338"/>
      <c r="K49" s="338"/>
    </row>
    <row r="50" spans="1:11" ht="31" x14ac:dyDescent="0.35">
      <c r="A50" s="292" t="s">
        <v>70</v>
      </c>
      <c r="B50" s="153" t="s">
        <v>158</v>
      </c>
      <c r="C50" s="4"/>
      <c r="D50" s="48" t="s">
        <v>67</v>
      </c>
      <c r="E50" s="282" t="s">
        <v>112</v>
      </c>
      <c r="F50" s="74">
        <f>IF(C50="Y",2,0)</f>
        <v>0</v>
      </c>
      <c r="G50" s="160"/>
      <c r="H50" s="337"/>
      <c r="I50" s="338"/>
      <c r="J50" s="338"/>
      <c r="K50" s="338"/>
    </row>
    <row r="51" spans="1:11" ht="46.5" x14ac:dyDescent="0.35">
      <c r="A51" s="292" t="s">
        <v>71</v>
      </c>
      <c r="B51" s="153" t="s">
        <v>159</v>
      </c>
      <c r="C51" s="113" t="s">
        <v>123</v>
      </c>
      <c r="D51" s="114" t="s">
        <v>123</v>
      </c>
      <c r="E51" s="114" t="s">
        <v>123</v>
      </c>
      <c r="F51" s="114" t="s">
        <v>123</v>
      </c>
      <c r="G51" s="160"/>
      <c r="H51" s="337"/>
      <c r="I51" s="338"/>
      <c r="J51" s="338"/>
      <c r="K51" s="338"/>
    </row>
    <row r="52" spans="1:11" ht="31" x14ac:dyDescent="0.35">
      <c r="A52" s="292" t="s">
        <v>73</v>
      </c>
      <c r="B52" s="142" t="s">
        <v>160</v>
      </c>
      <c r="C52" s="4"/>
      <c r="D52" s="48" t="s">
        <v>67</v>
      </c>
      <c r="E52" s="282" t="s">
        <v>95</v>
      </c>
      <c r="F52" s="74">
        <f>IF((C52="Y")*AND(C50="Y"),1,0)</f>
        <v>0</v>
      </c>
      <c r="G52" s="160"/>
      <c r="H52" s="337"/>
      <c r="I52" s="338"/>
      <c r="J52" s="338"/>
      <c r="K52" s="338"/>
    </row>
    <row r="53" spans="1:11" x14ac:dyDescent="0.35">
      <c r="A53" s="138"/>
      <c r="B53" s="345" t="s">
        <v>161</v>
      </c>
      <c r="C53" s="346"/>
      <c r="D53" s="346"/>
      <c r="E53" s="346"/>
      <c r="F53" s="139">
        <f>MIN((F50+F52),3)</f>
        <v>0</v>
      </c>
      <c r="G53" s="77"/>
      <c r="H53" s="337"/>
      <c r="I53" s="338"/>
      <c r="J53" s="338"/>
      <c r="K53" s="338"/>
    </row>
    <row r="54" spans="1:11" x14ac:dyDescent="0.35">
      <c r="A54" s="57" t="s">
        <v>162</v>
      </c>
      <c r="B54" s="373" t="s">
        <v>163</v>
      </c>
      <c r="C54" s="373"/>
      <c r="D54" s="373"/>
      <c r="E54" s="57">
        <v>5</v>
      </c>
      <c r="F54" s="59">
        <f>MIN(SUM(F65,F60),5)</f>
        <v>0</v>
      </c>
      <c r="G54" s="57"/>
      <c r="H54" s="337"/>
      <c r="I54" s="338"/>
      <c r="J54" s="338"/>
      <c r="K54" s="338"/>
    </row>
    <row r="55" spans="1:11" x14ac:dyDescent="0.35">
      <c r="A55" s="118" t="s">
        <v>164</v>
      </c>
      <c r="B55" s="145" t="s">
        <v>165</v>
      </c>
      <c r="C55" s="146"/>
      <c r="D55" s="119"/>
      <c r="E55" s="120"/>
      <c r="F55" s="154"/>
      <c r="G55" s="66"/>
      <c r="H55" s="337"/>
      <c r="I55" s="338"/>
      <c r="J55" s="338"/>
      <c r="K55" s="338"/>
    </row>
    <row r="56" spans="1:11" ht="31" x14ac:dyDescent="0.35">
      <c r="A56" s="155"/>
      <c r="B56" s="151" t="s">
        <v>166</v>
      </c>
      <c r="C56" s="156"/>
      <c r="D56" s="156"/>
      <c r="E56" s="152"/>
      <c r="F56" s="155"/>
      <c r="G56" s="73"/>
      <c r="H56" s="337"/>
      <c r="I56" s="338"/>
      <c r="J56" s="338"/>
      <c r="K56" s="338"/>
    </row>
    <row r="57" spans="1:11" x14ac:dyDescent="0.35">
      <c r="A57" s="292" t="s">
        <v>70</v>
      </c>
      <c r="B57" s="142" t="s">
        <v>167</v>
      </c>
      <c r="C57" s="4"/>
      <c r="D57" s="51" t="s">
        <v>68</v>
      </c>
      <c r="E57" s="282" t="s">
        <v>95</v>
      </c>
      <c r="F57" s="74">
        <f>IF(C57&gt;3,1,0)</f>
        <v>0</v>
      </c>
      <c r="G57" s="160"/>
      <c r="H57" s="337"/>
      <c r="I57" s="338"/>
      <c r="J57" s="338"/>
      <c r="K57" s="338"/>
    </row>
    <row r="58" spans="1:11" ht="31" x14ac:dyDescent="0.35">
      <c r="A58" s="292" t="s">
        <v>71</v>
      </c>
      <c r="B58" s="142" t="s">
        <v>168</v>
      </c>
      <c r="C58" s="4"/>
      <c r="D58" s="48" t="s">
        <v>67</v>
      </c>
      <c r="E58" s="282" t="s">
        <v>95</v>
      </c>
      <c r="F58" s="74">
        <f t="shared" ref="F58:F59" si="2">IF(C58="Y",1,0)</f>
        <v>0</v>
      </c>
      <c r="G58" s="160"/>
      <c r="H58" s="337"/>
      <c r="I58" s="338"/>
      <c r="J58" s="338"/>
      <c r="K58" s="338"/>
    </row>
    <row r="59" spans="1:11" ht="46.5" x14ac:dyDescent="0.35">
      <c r="A59" s="292" t="s">
        <v>73</v>
      </c>
      <c r="B59" s="142" t="s">
        <v>169</v>
      </c>
      <c r="C59" s="4"/>
      <c r="D59" s="48" t="s">
        <v>67</v>
      </c>
      <c r="E59" s="282" t="s">
        <v>95</v>
      </c>
      <c r="F59" s="74">
        <f t="shared" si="2"/>
        <v>0</v>
      </c>
      <c r="G59" s="160"/>
      <c r="H59" s="337"/>
      <c r="I59" s="338"/>
      <c r="J59" s="338"/>
      <c r="K59" s="338"/>
    </row>
    <row r="60" spans="1:11" x14ac:dyDescent="0.35">
      <c r="A60" s="138"/>
      <c r="B60" s="345" t="s">
        <v>170</v>
      </c>
      <c r="C60" s="346"/>
      <c r="D60" s="346"/>
      <c r="E60" s="346"/>
      <c r="F60" s="139">
        <f>MIN(F57+F58+F59,3)</f>
        <v>0</v>
      </c>
      <c r="G60" s="102"/>
      <c r="H60" s="337"/>
      <c r="I60" s="338"/>
      <c r="J60" s="338"/>
      <c r="K60" s="338"/>
    </row>
    <row r="61" spans="1:11" x14ac:dyDescent="0.35">
      <c r="A61" s="118" t="s">
        <v>171</v>
      </c>
      <c r="B61" s="350" t="s">
        <v>172</v>
      </c>
      <c r="C61" s="351"/>
      <c r="D61" s="119"/>
      <c r="E61" s="120"/>
      <c r="F61" s="154"/>
      <c r="G61" s="66"/>
      <c r="H61" s="337"/>
      <c r="I61" s="338"/>
      <c r="J61" s="338"/>
      <c r="K61" s="338"/>
    </row>
    <row r="62" spans="1:11" ht="46.5" x14ac:dyDescent="0.35">
      <c r="A62" s="157"/>
      <c r="B62" s="123" t="s">
        <v>173</v>
      </c>
      <c r="C62" s="158"/>
      <c r="D62" s="158"/>
      <c r="E62" s="140"/>
      <c r="F62" s="155"/>
      <c r="G62" s="73"/>
      <c r="H62" s="337"/>
      <c r="I62" s="338"/>
      <c r="J62" s="338"/>
      <c r="K62" s="338"/>
    </row>
    <row r="63" spans="1:11" ht="62" x14ac:dyDescent="0.35">
      <c r="A63" s="292" t="s">
        <v>70</v>
      </c>
      <c r="B63" s="129" t="s">
        <v>174</v>
      </c>
      <c r="C63" s="4"/>
      <c r="D63" s="48" t="s">
        <v>67</v>
      </c>
      <c r="E63" s="282" t="s">
        <v>112</v>
      </c>
      <c r="F63" s="74">
        <f t="shared" ref="F63:F64" si="3">IF(C63="Y",2,0)</f>
        <v>0</v>
      </c>
      <c r="G63" s="160"/>
      <c r="H63" s="337"/>
      <c r="I63" s="338"/>
      <c r="J63" s="338"/>
      <c r="K63" s="338"/>
    </row>
    <row r="64" spans="1:11" ht="62" x14ac:dyDescent="0.35">
      <c r="A64" s="292" t="s">
        <v>71</v>
      </c>
      <c r="B64" s="129" t="s">
        <v>175</v>
      </c>
      <c r="C64" s="4"/>
      <c r="D64" s="48" t="s">
        <v>67</v>
      </c>
      <c r="E64" s="282" t="s">
        <v>112</v>
      </c>
      <c r="F64" s="74">
        <f t="shared" si="3"/>
        <v>0</v>
      </c>
      <c r="G64" s="160"/>
      <c r="H64" s="337"/>
      <c r="I64" s="338"/>
      <c r="J64" s="338"/>
      <c r="K64" s="338"/>
    </row>
    <row r="65" spans="1:11" x14ac:dyDescent="0.35">
      <c r="A65" s="138"/>
      <c r="B65" s="345" t="s">
        <v>176</v>
      </c>
      <c r="C65" s="346"/>
      <c r="D65" s="346"/>
      <c r="E65" s="346"/>
      <c r="F65" s="139">
        <f>MIN(F63+F64,4)</f>
        <v>0</v>
      </c>
      <c r="G65" s="77"/>
      <c r="H65" s="337"/>
      <c r="I65" s="338"/>
      <c r="J65" s="338"/>
      <c r="K65" s="338"/>
    </row>
    <row r="66" spans="1:11" x14ac:dyDescent="0.35">
      <c r="A66" s="57"/>
      <c r="B66" s="373" t="s">
        <v>177</v>
      </c>
      <c r="C66" s="373"/>
      <c r="D66" s="373"/>
      <c r="E66" s="58">
        <v>2</v>
      </c>
      <c r="F66" s="59">
        <f>MIN(F68+F69,2)</f>
        <v>0</v>
      </c>
      <c r="G66" s="57"/>
      <c r="H66" s="337"/>
      <c r="I66" s="338"/>
      <c r="J66" s="338"/>
      <c r="K66" s="338"/>
    </row>
    <row r="67" spans="1:11" ht="93" x14ac:dyDescent="0.35">
      <c r="A67" s="122"/>
      <c r="B67" s="159" t="s">
        <v>178</v>
      </c>
      <c r="C67" s="140"/>
      <c r="D67" s="140"/>
      <c r="E67" s="140" t="s">
        <v>179</v>
      </c>
      <c r="F67" s="112"/>
      <c r="G67" s="103" t="s">
        <v>180</v>
      </c>
      <c r="H67" s="337"/>
      <c r="I67" s="338"/>
      <c r="J67" s="338"/>
      <c r="K67" s="338"/>
    </row>
    <row r="68" spans="1:11" ht="136.5" customHeight="1" x14ac:dyDescent="0.35">
      <c r="A68" s="366"/>
      <c r="B68" s="368" t="s">
        <v>181</v>
      </c>
      <c r="C68" s="168"/>
      <c r="D68" s="87" t="s">
        <v>68</v>
      </c>
      <c r="E68" s="370" t="s">
        <v>182</v>
      </c>
      <c r="F68" s="74">
        <f>C68</f>
        <v>0</v>
      </c>
      <c r="G68" s="169" t="s">
        <v>183</v>
      </c>
      <c r="H68" s="337"/>
      <c r="I68" s="338"/>
      <c r="J68" s="338"/>
      <c r="K68" s="338"/>
    </row>
    <row r="69" spans="1:11" ht="136" customHeight="1" x14ac:dyDescent="0.35">
      <c r="A69" s="367"/>
      <c r="B69" s="369"/>
      <c r="C69" s="168"/>
      <c r="D69" s="87" t="s">
        <v>68</v>
      </c>
      <c r="E69" s="370"/>
      <c r="F69" s="74">
        <f>C69</f>
        <v>0</v>
      </c>
      <c r="G69" s="169" t="s">
        <v>184</v>
      </c>
      <c r="H69" s="337"/>
      <c r="I69" s="338"/>
      <c r="J69" s="338"/>
      <c r="K69" s="338"/>
    </row>
  </sheetData>
  <sheetProtection algorithmName="SHA-512" hashValue="bnEXnGnJU4vuhw3j8D6fUXGTXtHAuFHDc6araast8yMFgbUokr9kZTzlRIk2hnT4UlUeza84oLtJRfGm0+Vv1Q==" saltValue="HDEaUwRjP+PzUD5V1IXgew==" spinCount="100000" sheet="1" objects="1" scenarios="1" formatCells="0" selectLockedCells="1"/>
  <mergeCells count="96">
    <mergeCell ref="A68:A69"/>
    <mergeCell ref="B68:B69"/>
    <mergeCell ref="E68:E69"/>
    <mergeCell ref="F32:F33"/>
    <mergeCell ref="B3:D3"/>
    <mergeCell ref="B23:E23"/>
    <mergeCell ref="B66:D66"/>
    <mergeCell ref="F14:F15"/>
    <mergeCell ref="B54:D54"/>
    <mergeCell ref="H12:K12"/>
    <mergeCell ref="H13:K13"/>
    <mergeCell ref="H14:K14"/>
    <mergeCell ref="H15:K15"/>
    <mergeCell ref="H16:K16"/>
    <mergeCell ref="H17:K17"/>
    <mergeCell ref="H18:K18"/>
    <mergeCell ref="B65:E65"/>
    <mergeCell ref="B8:E8"/>
    <mergeCell ref="B60:E60"/>
    <mergeCell ref="B61:C61"/>
    <mergeCell ref="E14:E15"/>
    <mergeCell ref="H19:K19"/>
    <mergeCell ref="H20:K20"/>
    <mergeCell ref="H21:K21"/>
    <mergeCell ref="H22:K22"/>
    <mergeCell ref="H23:K23"/>
    <mergeCell ref="H24:K24"/>
    <mergeCell ref="H25:K25"/>
    <mergeCell ref="H26:K26"/>
    <mergeCell ref="H27:K27"/>
    <mergeCell ref="A2:D2"/>
    <mergeCell ref="B39:E39"/>
    <mergeCell ref="A42:A44"/>
    <mergeCell ref="B47:E47"/>
    <mergeCell ref="B53:E53"/>
    <mergeCell ref="B27:E27"/>
    <mergeCell ref="B29:C29"/>
    <mergeCell ref="A31:A33"/>
    <mergeCell ref="E32:E33"/>
    <mergeCell ref="B35:E35"/>
    <mergeCell ref="A10:A13"/>
    <mergeCell ref="A14:A15"/>
    <mergeCell ref="B14:B15"/>
    <mergeCell ref="B28:D28"/>
    <mergeCell ref="B16:E16"/>
    <mergeCell ref="B20:E20"/>
    <mergeCell ref="H2:K2"/>
    <mergeCell ref="H3:K3"/>
    <mergeCell ref="H4:K4"/>
    <mergeCell ref="H5:K5"/>
    <mergeCell ref="H6:K6"/>
    <mergeCell ref="H7:K7"/>
    <mergeCell ref="H8:K8"/>
    <mergeCell ref="H9:K9"/>
    <mergeCell ref="H10:K10"/>
    <mergeCell ref="H11:K11"/>
    <mergeCell ref="H28:K28"/>
    <mergeCell ref="H29:K29"/>
    <mergeCell ref="H30:K30"/>
    <mergeCell ref="H35:K35"/>
    <mergeCell ref="H36:K36"/>
    <mergeCell ref="H37:K37"/>
    <mergeCell ref="J32:J33"/>
    <mergeCell ref="K32:K33"/>
    <mergeCell ref="H38:K38"/>
    <mergeCell ref="H39:K39"/>
    <mergeCell ref="H40:K40"/>
    <mergeCell ref="H41:K41"/>
    <mergeCell ref="H42:K42"/>
    <mergeCell ref="H43:K43"/>
    <mergeCell ref="H44:K44"/>
    <mergeCell ref="H45:K45"/>
    <mergeCell ref="H46:K46"/>
    <mergeCell ref="H47:K47"/>
    <mergeCell ref="H48:K48"/>
    <mergeCell ref="H49:K49"/>
    <mergeCell ref="H50:K50"/>
    <mergeCell ref="H51:K51"/>
    <mergeCell ref="H52:K52"/>
    <mergeCell ref="H53:K53"/>
    <mergeCell ref="H54:K54"/>
    <mergeCell ref="H55:K55"/>
    <mergeCell ref="H56:K56"/>
    <mergeCell ref="H57:K57"/>
    <mergeCell ref="H58:K58"/>
    <mergeCell ref="H59:K59"/>
    <mergeCell ref="H60:K60"/>
    <mergeCell ref="H61:K61"/>
    <mergeCell ref="H62:K62"/>
    <mergeCell ref="H68:K68"/>
    <mergeCell ref="H69:K69"/>
    <mergeCell ref="H63:K63"/>
    <mergeCell ref="H64:K64"/>
    <mergeCell ref="H65:K65"/>
    <mergeCell ref="H66:K66"/>
    <mergeCell ref="H67:K67"/>
  </mergeCells>
  <dataValidations count="8">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11:C14 C19 C43:C46 C52 C63:C64 C58:C59 C6:C7 C50 C37" xr:uid="{00000000-0002-0000-0300-000005000000}">
      <formula1>"Y,N"</formula1>
    </dataValidation>
    <dataValidation type="decimal" allowBlank="1" showInputMessage="1" showErrorMessage="1" sqref="C22 C15"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s>
  <pageMargins left="0.7" right="0.7" top="0.75" bottom="0.75" header="0.3" footer="0.3"/>
  <pageSetup paperSize="9" scale="56"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3"/>
  <sheetViews>
    <sheetView showGridLines="0" zoomScaleNormal="100" workbookViewId="0">
      <selection activeCell="E51" sqref="E51"/>
    </sheetView>
  </sheetViews>
  <sheetFormatPr defaultColWidth="9.1796875" defaultRowHeight="14.5" x14ac:dyDescent="0.35"/>
  <cols>
    <col min="1" max="1" width="8.26953125" style="273" customWidth="1"/>
    <col min="2" max="2" width="22.26953125" style="273" customWidth="1"/>
    <col min="3" max="3" width="34" style="273" customWidth="1"/>
    <col min="4" max="4" width="21.1796875" style="273" customWidth="1"/>
    <col min="5" max="5" width="10.7265625" style="294" customWidth="1"/>
    <col min="6" max="6" width="16.1796875" style="293" customWidth="1"/>
    <col min="7" max="7" width="18.1796875" style="273" customWidth="1"/>
    <col min="8" max="8" width="10.7265625" style="273" customWidth="1"/>
    <col min="9" max="9" width="30.7265625" style="273" customWidth="1"/>
    <col min="10" max="11" width="50.7265625" style="273" customWidth="1"/>
    <col min="12" max="12" width="15.54296875" style="273" customWidth="1"/>
    <col min="13" max="13" width="17.26953125" style="273" customWidth="1"/>
    <col min="14" max="16384" width="9.1796875" style="273"/>
  </cols>
  <sheetData>
    <row r="1" spans="1:9" ht="46.5" x14ac:dyDescent="0.35">
      <c r="A1" s="2"/>
      <c r="B1" s="381" t="s">
        <v>185</v>
      </c>
      <c r="C1" s="382"/>
      <c r="D1" s="383"/>
      <c r="E1" s="46" t="s">
        <v>63</v>
      </c>
      <c r="F1" s="46" t="s">
        <v>64</v>
      </c>
      <c r="G1" s="53" t="s">
        <v>84</v>
      </c>
      <c r="H1" s="46" t="s">
        <v>85</v>
      </c>
      <c r="I1" s="3" t="s">
        <v>86</v>
      </c>
    </row>
    <row r="2" spans="1:9" ht="21" x14ac:dyDescent="0.35">
      <c r="A2" s="394" t="s">
        <v>28</v>
      </c>
      <c r="B2" s="395"/>
      <c r="C2" s="395"/>
      <c r="D2" s="395"/>
      <c r="E2" s="395"/>
      <c r="F2" s="396"/>
      <c r="G2" s="170">
        <v>15</v>
      </c>
      <c r="H2" s="171">
        <f>MIN(SUM(H3,H30,H69,H80),15)</f>
        <v>0</v>
      </c>
      <c r="I2" s="172" t="s">
        <v>87</v>
      </c>
    </row>
    <row r="3" spans="1:9" ht="15.5" x14ac:dyDescent="0.35">
      <c r="A3" s="173" t="s">
        <v>186</v>
      </c>
      <c r="B3" s="384" t="s">
        <v>187</v>
      </c>
      <c r="C3" s="385"/>
      <c r="D3" s="385"/>
      <c r="E3" s="385"/>
      <c r="F3" s="385"/>
      <c r="G3" s="174">
        <v>5</v>
      </c>
      <c r="H3" s="174">
        <f>MIN(SUM(H16,H25,H29),5)</f>
        <v>0</v>
      </c>
      <c r="I3" s="175"/>
    </row>
    <row r="4" spans="1:9" ht="15.5" x14ac:dyDescent="0.35">
      <c r="A4" s="176" t="s">
        <v>188</v>
      </c>
      <c r="B4" s="376" t="s">
        <v>189</v>
      </c>
      <c r="C4" s="376"/>
      <c r="D4" s="377"/>
      <c r="E4" s="177"/>
      <c r="F4" s="176"/>
      <c r="G4" s="176"/>
      <c r="H4" s="178"/>
      <c r="I4" s="176"/>
    </row>
    <row r="5" spans="1:9" ht="15.5" x14ac:dyDescent="0.35">
      <c r="A5" s="286"/>
      <c r="B5" s="434" t="s">
        <v>190</v>
      </c>
      <c r="C5" s="434"/>
      <c r="D5" s="434"/>
      <c r="E5" s="290"/>
      <c r="F5" s="285"/>
      <c r="G5" s="286"/>
      <c r="H5" s="179"/>
      <c r="I5" s="217"/>
    </row>
    <row r="6" spans="1:9" ht="16" thickBot="1" x14ac:dyDescent="0.4">
      <c r="A6" s="180" t="s">
        <v>191</v>
      </c>
      <c r="B6" s="435" t="s">
        <v>192</v>
      </c>
      <c r="C6" s="436"/>
      <c r="D6" s="437"/>
      <c r="E6" s="181"/>
      <c r="F6" s="180"/>
      <c r="G6" s="180"/>
      <c r="H6" s="182"/>
      <c r="I6" s="180"/>
    </row>
    <row r="7" spans="1:9" ht="15.5" x14ac:dyDescent="0.35">
      <c r="A7" s="398"/>
      <c r="B7" s="439" t="s">
        <v>193</v>
      </c>
      <c r="C7" s="440"/>
      <c r="D7" s="399"/>
      <c r="E7" s="402"/>
      <c r="F7" s="398"/>
      <c r="G7" s="398"/>
      <c r="H7" s="372"/>
      <c r="I7" s="441"/>
    </row>
    <row r="8" spans="1:9" ht="15.5" x14ac:dyDescent="0.35">
      <c r="A8" s="398"/>
      <c r="B8" s="417" t="s">
        <v>194</v>
      </c>
      <c r="C8" s="183" t="s">
        <v>195</v>
      </c>
      <c r="D8" s="400"/>
      <c r="E8" s="402"/>
      <c r="F8" s="398"/>
      <c r="G8" s="398"/>
      <c r="H8" s="372"/>
      <c r="I8" s="441"/>
    </row>
    <row r="9" spans="1:9" ht="15.5" x14ac:dyDescent="0.35">
      <c r="A9" s="398"/>
      <c r="B9" s="417"/>
      <c r="C9" s="183" t="s">
        <v>196</v>
      </c>
      <c r="D9" s="400"/>
      <c r="E9" s="402"/>
      <c r="F9" s="398"/>
      <c r="G9" s="398"/>
      <c r="H9" s="372"/>
      <c r="I9" s="441"/>
    </row>
    <row r="10" spans="1:9" ht="15.5" x14ac:dyDescent="0.35">
      <c r="A10" s="398"/>
      <c r="B10" s="417" t="s">
        <v>197</v>
      </c>
      <c r="C10" s="183" t="s">
        <v>198</v>
      </c>
      <c r="D10" s="400"/>
      <c r="E10" s="402"/>
      <c r="F10" s="398"/>
      <c r="G10" s="398"/>
      <c r="H10" s="372"/>
      <c r="I10" s="441"/>
    </row>
    <row r="11" spans="1:9" ht="15.5" x14ac:dyDescent="0.35">
      <c r="A11" s="398"/>
      <c r="B11" s="417"/>
      <c r="C11" s="183" t="s">
        <v>199</v>
      </c>
      <c r="D11" s="400"/>
      <c r="E11" s="402"/>
      <c r="F11" s="398"/>
      <c r="G11" s="398"/>
      <c r="H11" s="372"/>
      <c r="I11" s="441"/>
    </row>
    <row r="12" spans="1:9" ht="15.5" x14ac:dyDescent="0.35">
      <c r="A12" s="398"/>
      <c r="B12" s="417"/>
      <c r="C12" s="183" t="s">
        <v>200</v>
      </c>
      <c r="D12" s="400"/>
      <c r="E12" s="402"/>
      <c r="F12" s="398"/>
      <c r="G12" s="398"/>
      <c r="H12" s="372"/>
      <c r="I12" s="441"/>
    </row>
    <row r="13" spans="1:9" ht="15.5" x14ac:dyDescent="0.35">
      <c r="A13" s="398"/>
      <c r="B13" s="417"/>
      <c r="C13" s="183" t="s">
        <v>201</v>
      </c>
      <c r="D13" s="400"/>
      <c r="E13" s="402"/>
      <c r="F13" s="398"/>
      <c r="G13" s="398"/>
      <c r="H13" s="372"/>
      <c r="I13" s="441"/>
    </row>
    <row r="14" spans="1:9" ht="16" thickBot="1" x14ac:dyDescent="0.4">
      <c r="A14" s="398"/>
      <c r="B14" s="418"/>
      <c r="C14" s="184" t="s">
        <v>202</v>
      </c>
      <c r="D14" s="400"/>
      <c r="E14" s="402"/>
      <c r="F14" s="398"/>
      <c r="G14" s="398"/>
      <c r="H14" s="372"/>
      <c r="I14" s="441"/>
    </row>
    <row r="15" spans="1:9" ht="98.5" customHeight="1" x14ac:dyDescent="0.35">
      <c r="A15" s="286"/>
      <c r="B15" s="379" t="s">
        <v>203</v>
      </c>
      <c r="C15" s="434"/>
      <c r="D15" s="434"/>
      <c r="E15" s="185" t="s">
        <v>123</v>
      </c>
      <c r="F15" s="132" t="s">
        <v>123</v>
      </c>
      <c r="G15" s="276" t="s">
        <v>123</v>
      </c>
      <c r="H15" s="132" t="s">
        <v>123</v>
      </c>
      <c r="I15" s="246"/>
    </row>
    <row r="16" spans="1:9" ht="15.5" x14ac:dyDescent="0.35">
      <c r="A16" s="186"/>
      <c r="B16" s="387" t="s">
        <v>204</v>
      </c>
      <c r="C16" s="388"/>
      <c r="D16" s="388"/>
      <c r="E16" s="388"/>
      <c r="F16" s="388"/>
      <c r="G16" s="389"/>
      <c r="H16" s="187" t="str">
        <f>H15</f>
        <v>N.A.</v>
      </c>
      <c r="I16" s="188"/>
    </row>
    <row r="17" spans="1:9" ht="15.75" customHeight="1" x14ac:dyDescent="0.35">
      <c r="A17" s="180" t="s">
        <v>205</v>
      </c>
      <c r="B17" s="435" t="s">
        <v>206</v>
      </c>
      <c r="C17" s="436"/>
      <c r="D17" s="437"/>
      <c r="E17" s="181"/>
      <c r="F17" s="180"/>
      <c r="G17" s="180"/>
      <c r="H17" s="182"/>
      <c r="I17" s="180"/>
    </row>
    <row r="18" spans="1:9" ht="84.75" customHeight="1" x14ac:dyDescent="0.35">
      <c r="A18" s="286" t="s">
        <v>207</v>
      </c>
      <c r="B18" s="379" t="s">
        <v>486</v>
      </c>
      <c r="C18" s="379"/>
      <c r="D18" s="379"/>
      <c r="E18" s="216"/>
      <c r="F18" s="189" t="s">
        <v>208</v>
      </c>
      <c r="G18" s="6" t="s">
        <v>95</v>
      </c>
      <c r="H18" s="283">
        <f>IF(ISNUMBER(E18), 1, 0)</f>
        <v>0</v>
      </c>
      <c r="I18" s="217"/>
    </row>
    <row r="19" spans="1:9" ht="64.5" customHeight="1" thickBot="1" x14ac:dyDescent="0.4">
      <c r="A19" s="286" t="s">
        <v>209</v>
      </c>
      <c r="B19" s="379" t="s">
        <v>210</v>
      </c>
      <c r="C19" s="379"/>
      <c r="D19" s="379"/>
      <c r="E19" s="185" t="s">
        <v>123</v>
      </c>
      <c r="F19" s="132" t="s">
        <v>123</v>
      </c>
      <c r="G19" s="276" t="s">
        <v>123</v>
      </c>
      <c r="H19" s="132" t="s">
        <v>123</v>
      </c>
      <c r="I19" s="217"/>
    </row>
    <row r="20" spans="1:9" ht="31" x14ac:dyDescent="0.35">
      <c r="A20" s="398"/>
      <c r="B20" s="190"/>
      <c r="C20" s="191" t="s">
        <v>211</v>
      </c>
      <c r="D20" s="192"/>
      <c r="E20" s="402"/>
      <c r="F20" s="398"/>
      <c r="G20" s="398"/>
      <c r="H20" s="372"/>
      <c r="I20" s="441"/>
    </row>
    <row r="21" spans="1:9" ht="15.5" x14ac:dyDescent="0.35">
      <c r="A21" s="398"/>
      <c r="B21" s="193" t="s">
        <v>212</v>
      </c>
      <c r="C21" s="194">
        <v>1000</v>
      </c>
      <c r="D21" s="195"/>
      <c r="E21" s="402"/>
      <c r="F21" s="398"/>
      <c r="G21" s="398"/>
      <c r="H21" s="372"/>
      <c r="I21" s="441"/>
    </row>
    <row r="22" spans="1:9" ht="15.5" x14ac:dyDescent="0.35">
      <c r="A22" s="398"/>
      <c r="B22" s="193" t="s">
        <v>213</v>
      </c>
      <c r="C22" s="194">
        <v>1500</v>
      </c>
      <c r="D22" s="195"/>
      <c r="E22" s="402"/>
      <c r="F22" s="398"/>
      <c r="G22" s="398"/>
      <c r="H22" s="372"/>
      <c r="I22" s="441"/>
    </row>
    <row r="23" spans="1:9" ht="16" thickBot="1" x14ac:dyDescent="0.4">
      <c r="A23" s="398"/>
      <c r="B23" s="196" t="s">
        <v>214</v>
      </c>
      <c r="C23" s="197">
        <v>2500</v>
      </c>
      <c r="D23" s="195"/>
      <c r="E23" s="402"/>
      <c r="F23" s="398"/>
      <c r="G23" s="398"/>
      <c r="H23" s="372"/>
      <c r="I23" s="441"/>
    </row>
    <row r="24" spans="1:9" ht="15.5" x14ac:dyDescent="0.35">
      <c r="A24" s="404"/>
      <c r="B24" s="397" t="s">
        <v>215</v>
      </c>
      <c r="C24" s="397"/>
      <c r="D24" s="397"/>
      <c r="E24" s="442"/>
      <c r="F24" s="404"/>
      <c r="G24" s="404"/>
      <c r="H24" s="371"/>
      <c r="I24" s="441"/>
    </row>
    <row r="25" spans="1:9" ht="15.5" x14ac:dyDescent="0.35">
      <c r="A25" s="186"/>
      <c r="B25" s="387" t="s">
        <v>216</v>
      </c>
      <c r="C25" s="388"/>
      <c r="D25" s="388"/>
      <c r="E25" s="388"/>
      <c r="F25" s="388"/>
      <c r="G25" s="389"/>
      <c r="H25" s="187">
        <f>SUM(H18:H19)</f>
        <v>0</v>
      </c>
      <c r="I25" s="188"/>
    </row>
    <row r="26" spans="1:9" ht="15.5" x14ac:dyDescent="0.35">
      <c r="A26" s="176" t="s">
        <v>217</v>
      </c>
      <c r="B26" s="376" t="s">
        <v>218</v>
      </c>
      <c r="C26" s="376"/>
      <c r="D26" s="377"/>
      <c r="E26" s="177"/>
      <c r="F26" s="176"/>
      <c r="G26" s="176"/>
      <c r="H26" s="178"/>
      <c r="I26" s="176"/>
    </row>
    <row r="27" spans="1:9" ht="47.25" customHeight="1" x14ac:dyDescent="0.35">
      <c r="A27" s="286" t="s">
        <v>207</v>
      </c>
      <c r="B27" s="379" t="s">
        <v>490</v>
      </c>
      <c r="C27" s="379"/>
      <c r="D27" s="379"/>
      <c r="E27" s="216"/>
      <c r="F27" s="287" t="s">
        <v>67</v>
      </c>
      <c r="G27" s="6" t="s">
        <v>95</v>
      </c>
      <c r="H27" s="283">
        <f>IF(E27="Y",1,0)</f>
        <v>0</v>
      </c>
      <c r="I27" s="218"/>
    </row>
    <row r="28" spans="1:9" ht="21.75" customHeight="1" x14ac:dyDescent="0.35">
      <c r="A28" s="286" t="s">
        <v>71</v>
      </c>
      <c r="B28" s="379" t="s">
        <v>491</v>
      </c>
      <c r="C28" s="379"/>
      <c r="D28" s="379"/>
      <c r="E28" s="185" t="s">
        <v>123</v>
      </c>
      <c r="F28" s="132" t="s">
        <v>123</v>
      </c>
      <c r="G28" s="276" t="s">
        <v>123</v>
      </c>
      <c r="H28" s="132" t="s">
        <v>123</v>
      </c>
      <c r="I28" s="217"/>
    </row>
    <row r="29" spans="1:9" ht="15.5" x14ac:dyDescent="0.35">
      <c r="A29" s="186"/>
      <c r="B29" s="387" t="s">
        <v>219</v>
      </c>
      <c r="C29" s="388"/>
      <c r="D29" s="388"/>
      <c r="E29" s="388"/>
      <c r="F29" s="388"/>
      <c r="G29" s="389"/>
      <c r="H29" s="187">
        <f>H27</f>
        <v>0</v>
      </c>
      <c r="I29" s="188"/>
    </row>
    <row r="30" spans="1:9" ht="15.5" x14ac:dyDescent="0.35">
      <c r="A30" s="173" t="s">
        <v>220</v>
      </c>
      <c r="B30" s="384" t="s">
        <v>221</v>
      </c>
      <c r="C30" s="385"/>
      <c r="D30" s="385"/>
      <c r="E30" s="385"/>
      <c r="F30" s="385"/>
      <c r="G30" s="174">
        <v>5</v>
      </c>
      <c r="H30" s="198">
        <f>MIN(SUM(H57,H62,H68),5)</f>
        <v>0</v>
      </c>
      <c r="I30" s="175"/>
    </row>
    <row r="31" spans="1:9" ht="15.75" customHeight="1" x14ac:dyDescent="0.35">
      <c r="A31" s="176" t="s">
        <v>222</v>
      </c>
      <c r="B31" s="376" t="s">
        <v>223</v>
      </c>
      <c r="C31" s="376"/>
      <c r="D31" s="377"/>
      <c r="E31" s="177"/>
      <c r="F31" s="176"/>
      <c r="G31" s="176"/>
      <c r="H31" s="176"/>
      <c r="I31" s="176"/>
    </row>
    <row r="32" spans="1:9" ht="31.5" customHeight="1" x14ac:dyDescent="0.35">
      <c r="A32" s="199"/>
      <c r="B32" s="380" t="s">
        <v>224</v>
      </c>
      <c r="C32" s="380"/>
      <c r="D32" s="380"/>
      <c r="E32" s="200"/>
      <c r="F32" s="201"/>
      <c r="G32" s="202"/>
      <c r="H32" s="203"/>
      <c r="I32" s="199"/>
    </row>
    <row r="33" spans="1:13" ht="16" thickBot="1" x14ac:dyDescent="0.4">
      <c r="A33" s="407" t="s">
        <v>70</v>
      </c>
      <c r="B33" s="425" t="s">
        <v>225</v>
      </c>
      <c r="C33" s="426"/>
      <c r="D33" s="427"/>
      <c r="E33" s="290"/>
      <c r="F33" s="204"/>
      <c r="G33" s="43"/>
      <c r="H33" s="205"/>
      <c r="I33" s="8"/>
    </row>
    <row r="34" spans="1:13" ht="15.5" x14ac:dyDescent="0.35">
      <c r="A34" s="408"/>
      <c r="B34" s="190"/>
      <c r="C34" s="191" t="s">
        <v>226</v>
      </c>
      <c r="D34" s="403"/>
      <c r="E34" s="420"/>
      <c r="F34" s="422" t="s">
        <v>68</v>
      </c>
      <c r="G34" s="407" t="s">
        <v>112</v>
      </c>
      <c r="H34" s="423">
        <f>IF(ISBLANK(E34),0,IF(E34&lt;=0.45,2,0))</f>
        <v>0</v>
      </c>
      <c r="I34" s="443"/>
    </row>
    <row r="35" spans="1:13" ht="15.5" x14ac:dyDescent="0.35">
      <c r="A35" s="408"/>
      <c r="B35" s="193" t="s">
        <v>212</v>
      </c>
      <c r="C35" s="194" t="s">
        <v>227</v>
      </c>
      <c r="D35" s="403"/>
      <c r="E35" s="421"/>
      <c r="F35" s="422"/>
      <c r="G35" s="407"/>
      <c r="H35" s="424"/>
      <c r="I35" s="444"/>
    </row>
    <row r="36" spans="1:13" ht="15.5" x14ac:dyDescent="0.35">
      <c r="A36" s="408"/>
      <c r="B36" s="193" t="s">
        <v>213</v>
      </c>
      <c r="C36" s="194" t="s">
        <v>228</v>
      </c>
      <c r="D36" s="403"/>
      <c r="E36" s="421"/>
      <c r="F36" s="422"/>
      <c r="G36" s="407"/>
      <c r="H36" s="424"/>
      <c r="I36" s="444"/>
    </row>
    <row r="37" spans="1:13" ht="16" thickBot="1" x14ac:dyDescent="0.4">
      <c r="A37" s="408"/>
      <c r="B37" s="196" t="s">
        <v>214</v>
      </c>
      <c r="C37" s="197" t="s">
        <v>228</v>
      </c>
      <c r="D37" s="403"/>
      <c r="E37" s="421"/>
      <c r="F37" s="422"/>
      <c r="G37" s="407"/>
      <c r="H37" s="424"/>
      <c r="I37" s="444"/>
    </row>
    <row r="38" spans="1:13" ht="67.5" customHeight="1" thickBot="1" x14ac:dyDescent="0.4">
      <c r="A38" s="409" t="s">
        <v>209</v>
      </c>
      <c r="B38" s="379" t="s">
        <v>229</v>
      </c>
      <c r="C38" s="379"/>
      <c r="D38" s="427"/>
      <c r="E38" s="413"/>
      <c r="F38" s="374"/>
      <c r="G38" s="374"/>
      <c r="H38" s="374"/>
      <c r="I38" s="446"/>
      <c r="K38" s="297"/>
      <c r="L38" s="298"/>
      <c r="M38" s="298"/>
    </row>
    <row r="39" spans="1:13" ht="31.5" customHeight="1" x14ac:dyDescent="0.35">
      <c r="A39" s="410"/>
      <c r="B39" s="190"/>
      <c r="C39" s="206" t="s">
        <v>230</v>
      </c>
      <c r="D39" s="405"/>
      <c r="E39" s="414"/>
      <c r="F39" s="416"/>
      <c r="G39" s="416"/>
      <c r="H39" s="416"/>
      <c r="I39" s="447"/>
      <c r="K39" s="297"/>
      <c r="L39" s="298"/>
      <c r="M39" s="298"/>
    </row>
    <row r="40" spans="1:13" ht="15.75" customHeight="1" x14ac:dyDescent="0.35">
      <c r="A40" s="410"/>
      <c r="B40" s="193" t="s">
        <v>212</v>
      </c>
      <c r="C40" s="194" t="s">
        <v>231</v>
      </c>
      <c r="D40" s="405"/>
      <c r="E40" s="414"/>
      <c r="F40" s="416"/>
      <c r="G40" s="416"/>
      <c r="H40" s="416"/>
      <c r="I40" s="447"/>
      <c r="K40" s="297"/>
      <c r="L40" s="298"/>
      <c r="M40" s="298"/>
    </row>
    <row r="41" spans="1:13" ht="15.75" customHeight="1" thickBot="1" x14ac:dyDescent="0.4">
      <c r="A41" s="410"/>
      <c r="B41" s="196" t="s">
        <v>213</v>
      </c>
      <c r="C41" s="207" t="s">
        <v>232</v>
      </c>
      <c r="D41" s="406"/>
      <c r="E41" s="415"/>
      <c r="F41" s="375"/>
      <c r="G41" s="375"/>
      <c r="H41" s="375"/>
      <c r="I41" s="448"/>
      <c r="K41" s="297"/>
      <c r="L41" s="298"/>
      <c r="M41" s="298"/>
    </row>
    <row r="42" spans="1:13" ht="15.75" customHeight="1" x14ac:dyDescent="0.35">
      <c r="A42" s="411"/>
      <c r="B42" s="429" t="s">
        <v>233</v>
      </c>
      <c r="C42" s="429"/>
      <c r="D42" s="379"/>
      <c r="E42" s="216"/>
      <c r="F42" s="287" t="s">
        <v>72</v>
      </c>
      <c r="G42" s="409" t="s">
        <v>95</v>
      </c>
      <c r="H42" s="423">
        <f>IF(SUM(E42:E46)&gt;=55, 1, 0)</f>
        <v>0</v>
      </c>
      <c r="I42" s="443"/>
      <c r="K42" s="297"/>
      <c r="L42" s="298"/>
      <c r="M42" s="298"/>
    </row>
    <row r="43" spans="1:13" ht="15.5" x14ac:dyDescent="0.35">
      <c r="A43" s="411"/>
      <c r="B43" s="379" t="s">
        <v>234</v>
      </c>
      <c r="C43" s="379"/>
      <c r="D43" s="379"/>
      <c r="E43" s="216"/>
      <c r="F43" s="287" t="s">
        <v>72</v>
      </c>
      <c r="G43" s="411"/>
      <c r="H43" s="424"/>
      <c r="I43" s="444"/>
      <c r="K43" s="297"/>
      <c r="L43" s="299"/>
      <c r="M43" s="294"/>
    </row>
    <row r="44" spans="1:13" ht="15.75" customHeight="1" x14ac:dyDescent="0.35">
      <c r="A44" s="411"/>
      <c r="B44" s="379" t="s">
        <v>235</v>
      </c>
      <c r="C44" s="379"/>
      <c r="D44" s="379"/>
      <c r="E44" s="216"/>
      <c r="F44" s="287" t="s">
        <v>72</v>
      </c>
      <c r="G44" s="411"/>
      <c r="H44" s="424"/>
      <c r="I44" s="444"/>
    </row>
    <row r="45" spans="1:13" ht="15.75" customHeight="1" x14ac:dyDescent="0.35">
      <c r="A45" s="411"/>
      <c r="B45" s="379" t="s">
        <v>236</v>
      </c>
      <c r="C45" s="379"/>
      <c r="D45" s="379"/>
      <c r="E45" s="216"/>
      <c r="F45" s="287" t="s">
        <v>72</v>
      </c>
      <c r="G45" s="411"/>
      <c r="H45" s="424"/>
      <c r="I45" s="444"/>
    </row>
    <row r="46" spans="1:13" ht="47.25" customHeight="1" x14ac:dyDescent="0.35">
      <c r="A46" s="412"/>
      <c r="B46" s="379" t="s">
        <v>237</v>
      </c>
      <c r="C46" s="379"/>
      <c r="D46" s="379"/>
      <c r="E46" s="216"/>
      <c r="F46" s="287" t="s">
        <v>72</v>
      </c>
      <c r="G46" s="412"/>
      <c r="H46" s="431"/>
      <c r="I46" s="445"/>
    </row>
    <row r="47" spans="1:13" ht="47.25" customHeight="1" x14ac:dyDescent="0.35">
      <c r="A47" s="409" t="s">
        <v>73</v>
      </c>
      <c r="B47" s="379" t="s">
        <v>238</v>
      </c>
      <c r="C47" s="379"/>
      <c r="D47" s="379"/>
      <c r="E47" s="290"/>
      <c r="F47" s="287"/>
      <c r="G47"/>
      <c r="H47" s="283"/>
      <c r="I47" s="160"/>
    </row>
    <row r="48" spans="1:13" ht="33" customHeight="1" x14ac:dyDescent="0.35">
      <c r="A48" s="412"/>
      <c r="B48" s="393" t="s">
        <v>239</v>
      </c>
      <c r="C48" s="393"/>
      <c r="D48" s="393"/>
      <c r="E48" s="216"/>
      <c r="F48" s="287" t="s">
        <v>68</v>
      </c>
      <c r="G48" s="282" t="s">
        <v>240</v>
      </c>
      <c r="H48" s="208">
        <f>IF(E48&gt;=2,E48*0.25,0)</f>
        <v>0</v>
      </c>
      <c r="I48" s="160"/>
    </row>
    <row r="49" spans="1:9" ht="64.5" customHeight="1" x14ac:dyDescent="0.35">
      <c r="A49" s="409" t="s">
        <v>75</v>
      </c>
      <c r="B49" s="391" t="s">
        <v>241</v>
      </c>
      <c r="C49" s="379"/>
      <c r="D49" s="392"/>
      <c r="E49" s="290"/>
      <c r="F49" s="287"/>
      <c r="G49" s="209" t="s">
        <v>242</v>
      </c>
      <c r="H49" s="210"/>
      <c r="I49" s="247"/>
    </row>
    <row r="50" spans="1:9" ht="15.5" x14ac:dyDescent="0.35">
      <c r="A50" s="411"/>
      <c r="B50" s="393" t="s">
        <v>243</v>
      </c>
      <c r="C50" s="393"/>
      <c r="D50" s="393"/>
      <c r="E50" s="216"/>
      <c r="F50" s="287" t="s">
        <v>68</v>
      </c>
      <c r="G50" s="6" t="s">
        <v>123</v>
      </c>
      <c r="H50" s="205"/>
      <c r="I50" s="160"/>
    </row>
    <row r="51" spans="1:9" ht="15.5" x14ac:dyDescent="0.35">
      <c r="A51" s="411"/>
      <c r="B51" s="379" t="s">
        <v>244</v>
      </c>
      <c r="C51" s="379"/>
      <c r="D51" s="379"/>
      <c r="E51" s="216"/>
      <c r="F51" s="287" t="s">
        <v>72</v>
      </c>
      <c r="G51" s="364" t="s">
        <v>245</v>
      </c>
      <c r="H51" s="423">
        <f>IF(AND(E51&gt;=20,E52="Y"),0.5,0)</f>
        <v>0</v>
      </c>
      <c r="I51" s="160"/>
    </row>
    <row r="52" spans="1:9" ht="18" customHeight="1" x14ac:dyDescent="0.35">
      <c r="A52" s="411"/>
      <c r="B52" s="379" t="s">
        <v>246</v>
      </c>
      <c r="C52" s="379"/>
      <c r="D52" s="379"/>
      <c r="E52" s="216"/>
      <c r="F52" s="287" t="s">
        <v>67</v>
      </c>
      <c r="G52" s="365"/>
      <c r="H52" s="431"/>
      <c r="I52" s="160"/>
    </row>
    <row r="53" spans="1:9" ht="15.5" x14ac:dyDescent="0.35">
      <c r="A53" s="411"/>
      <c r="B53" s="379" t="s">
        <v>492</v>
      </c>
      <c r="C53" s="379"/>
      <c r="D53" s="379"/>
      <c r="E53" s="216"/>
      <c r="F53" s="189" t="s">
        <v>72</v>
      </c>
      <c r="G53" s="364" t="s">
        <v>245</v>
      </c>
      <c r="H53" s="423">
        <f>IF(OR(AND(E53&lt;=10,E54="Y"),AND(E55&gt;=50,E56="Y")),0.5,0)</f>
        <v>0</v>
      </c>
      <c r="I53" s="160"/>
    </row>
    <row r="54" spans="1:9" ht="15.75" customHeight="1" x14ac:dyDescent="0.35">
      <c r="A54" s="411"/>
      <c r="B54" s="379" t="s">
        <v>493</v>
      </c>
      <c r="C54" s="379"/>
      <c r="D54" s="379"/>
      <c r="E54" s="216"/>
      <c r="F54" s="287" t="s">
        <v>67</v>
      </c>
      <c r="G54" s="438"/>
      <c r="H54" s="424"/>
      <c r="I54" s="160"/>
    </row>
    <row r="55" spans="1:9" ht="15.75" customHeight="1" x14ac:dyDescent="0.35">
      <c r="A55" s="411"/>
      <c r="B55" s="379" t="s">
        <v>247</v>
      </c>
      <c r="C55" s="379"/>
      <c r="D55" s="379"/>
      <c r="E55" s="216"/>
      <c r="F55" s="189" t="s">
        <v>72</v>
      </c>
      <c r="G55" s="438"/>
      <c r="H55" s="424"/>
      <c r="I55" s="160"/>
    </row>
    <row r="56" spans="1:9" ht="15.75" customHeight="1" x14ac:dyDescent="0.35">
      <c r="A56" s="412"/>
      <c r="B56" s="379" t="s">
        <v>248</v>
      </c>
      <c r="C56" s="379"/>
      <c r="D56" s="379"/>
      <c r="E56" s="216"/>
      <c r="F56" s="287" t="s">
        <v>67</v>
      </c>
      <c r="G56" s="365"/>
      <c r="H56" s="431"/>
      <c r="I56" s="160"/>
    </row>
    <row r="57" spans="1:9" ht="15.5" x14ac:dyDescent="0.35">
      <c r="A57" s="186"/>
      <c r="B57" s="387" t="s">
        <v>249</v>
      </c>
      <c r="C57" s="388"/>
      <c r="D57" s="388"/>
      <c r="E57" s="388"/>
      <c r="F57" s="388"/>
      <c r="G57" s="389"/>
      <c r="H57" s="187">
        <f>SUM(H51:H56,H48,H42,H34)</f>
        <v>0</v>
      </c>
      <c r="I57" s="188"/>
    </row>
    <row r="58" spans="1:9" ht="15.75" customHeight="1" x14ac:dyDescent="0.35">
      <c r="A58" s="211" t="s">
        <v>250</v>
      </c>
      <c r="B58" s="401" t="s">
        <v>251</v>
      </c>
      <c r="C58" s="376"/>
      <c r="D58" s="377"/>
      <c r="E58" s="177"/>
      <c r="F58" s="176"/>
      <c r="G58" s="176"/>
      <c r="H58" s="178"/>
      <c r="I58" s="176"/>
    </row>
    <row r="59" spans="1:9" ht="34" customHeight="1" x14ac:dyDescent="0.35">
      <c r="A59" s="419" t="s">
        <v>70</v>
      </c>
      <c r="B59" s="425" t="s">
        <v>252</v>
      </c>
      <c r="C59" s="426"/>
      <c r="D59" s="427"/>
      <c r="E59" s="216"/>
      <c r="F59" s="189" t="s">
        <v>253</v>
      </c>
      <c r="G59" s="364" t="s">
        <v>112</v>
      </c>
      <c r="H59" s="432">
        <f>IF(AND(E59="Cost",E60&gt;=60),2,0) + IF(AND(E59="Area",E60&gt;=80),2,0)</f>
        <v>0</v>
      </c>
      <c r="I59" s="160"/>
    </row>
    <row r="60" spans="1:9" ht="31" customHeight="1" x14ac:dyDescent="0.35">
      <c r="A60" s="419"/>
      <c r="B60" s="428"/>
      <c r="C60" s="429"/>
      <c r="D60" s="430"/>
      <c r="E60" s="216"/>
      <c r="F60" s="189" t="s">
        <v>72</v>
      </c>
      <c r="G60" s="365"/>
      <c r="H60" s="433"/>
      <c r="I60" s="160"/>
    </row>
    <row r="61" spans="1:9" ht="48" customHeight="1" x14ac:dyDescent="0.35">
      <c r="A61" s="286" t="s">
        <v>71</v>
      </c>
      <c r="B61" s="378" t="s">
        <v>254</v>
      </c>
      <c r="C61" s="379"/>
      <c r="D61" s="379"/>
      <c r="E61" s="216"/>
      <c r="F61" s="189" t="s">
        <v>72</v>
      </c>
      <c r="G61" s="282" t="s">
        <v>255</v>
      </c>
      <c r="H61" s="212">
        <f>IF(E61&gt;=60,3,0)</f>
        <v>0</v>
      </c>
      <c r="I61" s="160"/>
    </row>
    <row r="62" spans="1:9" ht="15.75" customHeight="1" x14ac:dyDescent="0.35">
      <c r="A62" s="213"/>
      <c r="B62" s="387" t="s">
        <v>256</v>
      </c>
      <c r="C62" s="388"/>
      <c r="D62" s="388"/>
      <c r="E62" s="388"/>
      <c r="F62" s="388"/>
      <c r="G62" s="389"/>
      <c r="H62" s="187">
        <f>SUM(H59:H61)</f>
        <v>0</v>
      </c>
      <c r="I62" s="188"/>
    </row>
    <row r="63" spans="1:9" ht="15.5" x14ac:dyDescent="0.35">
      <c r="A63" s="176" t="s">
        <v>257</v>
      </c>
      <c r="B63" s="376" t="s">
        <v>258</v>
      </c>
      <c r="C63" s="376"/>
      <c r="D63" s="377"/>
      <c r="E63" s="177"/>
      <c r="F63" s="176"/>
      <c r="G63" s="176"/>
      <c r="H63" s="178"/>
      <c r="I63" s="176"/>
    </row>
    <row r="64" spans="1:9" ht="63.75" customHeight="1" x14ac:dyDescent="0.35">
      <c r="A64" s="286"/>
      <c r="B64" s="378" t="s">
        <v>485</v>
      </c>
      <c r="C64" s="379"/>
      <c r="D64" s="379"/>
      <c r="E64" s="290"/>
      <c r="F64" s="189"/>
      <c r="G64" s="282"/>
      <c r="H64" s="283"/>
      <c r="I64" s="160"/>
    </row>
    <row r="65" spans="1:9" ht="15.5" x14ac:dyDescent="0.35">
      <c r="A65" s="286" t="s">
        <v>70</v>
      </c>
      <c r="B65" s="378" t="s">
        <v>259</v>
      </c>
      <c r="C65" s="379"/>
      <c r="D65" s="379"/>
      <c r="E65" s="216"/>
      <c r="F65" s="287" t="s">
        <v>67</v>
      </c>
      <c r="G65" s="276" t="s">
        <v>95</v>
      </c>
      <c r="H65" s="212">
        <f>IF(E65="Y",1,0)</f>
        <v>0</v>
      </c>
      <c r="I65" s="160"/>
    </row>
    <row r="66" spans="1:9" ht="47.25" customHeight="1" x14ac:dyDescent="0.35">
      <c r="A66" s="286" t="s">
        <v>209</v>
      </c>
      <c r="B66" s="378" t="s">
        <v>260</v>
      </c>
      <c r="C66" s="379"/>
      <c r="D66" s="379"/>
      <c r="E66" s="216"/>
      <c r="F66" s="287" t="s">
        <v>67</v>
      </c>
      <c r="G66" s="276" t="s">
        <v>95</v>
      </c>
      <c r="H66" s="212">
        <f>IF(E66="Y",1,0)</f>
        <v>0</v>
      </c>
      <c r="I66" s="160"/>
    </row>
    <row r="67" spans="1:9" ht="51.65" customHeight="1" x14ac:dyDescent="0.35">
      <c r="A67" s="286" t="s">
        <v>261</v>
      </c>
      <c r="B67" s="378" t="s">
        <v>262</v>
      </c>
      <c r="C67" s="379"/>
      <c r="D67" s="379"/>
      <c r="E67" s="216"/>
      <c r="F67" s="287" t="s">
        <v>67</v>
      </c>
      <c r="G67" s="276" t="s">
        <v>95</v>
      </c>
      <c r="H67" s="212">
        <f>IF(E67="Y",1,0)</f>
        <v>0</v>
      </c>
      <c r="I67" s="160"/>
    </row>
    <row r="68" spans="1:9" ht="15.5" x14ac:dyDescent="0.35">
      <c r="A68" s="213"/>
      <c r="B68" s="387" t="s">
        <v>263</v>
      </c>
      <c r="C68" s="388"/>
      <c r="D68" s="388"/>
      <c r="E68" s="388"/>
      <c r="F68" s="388"/>
      <c r="G68" s="389"/>
      <c r="H68" s="187">
        <f>SUM(H65:H67)</f>
        <v>0</v>
      </c>
      <c r="I68" s="188"/>
    </row>
    <row r="69" spans="1:9" ht="15.65" customHeight="1" x14ac:dyDescent="0.35">
      <c r="A69" s="173" t="s">
        <v>264</v>
      </c>
      <c r="B69" s="384" t="s">
        <v>265</v>
      </c>
      <c r="C69" s="385"/>
      <c r="D69" s="385"/>
      <c r="E69" s="385"/>
      <c r="F69" s="385"/>
      <c r="G69" s="214">
        <v>5</v>
      </c>
      <c r="H69" s="198">
        <f>MIN(SUM(H72,H76,H79),5)</f>
        <v>0</v>
      </c>
      <c r="I69" s="175"/>
    </row>
    <row r="70" spans="1:9" ht="19" customHeight="1" x14ac:dyDescent="0.35">
      <c r="A70" s="176" t="s">
        <v>266</v>
      </c>
      <c r="B70" s="376" t="s">
        <v>267</v>
      </c>
      <c r="C70" s="376"/>
      <c r="D70" s="377"/>
      <c r="E70" s="177"/>
      <c r="F70" s="176"/>
      <c r="G70" s="176"/>
      <c r="H70" s="176"/>
      <c r="I70" s="176"/>
    </row>
    <row r="71" spans="1:9" ht="98.5" customHeight="1" x14ac:dyDescent="0.35">
      <c r="A71" s="215"/>
      <c r="B71" s="378" t="s">
        <v>268</v>
      </c>
      <c r="C71" s="379"/>
      <c r="D71" s="379"/>
      <c r="E71" s="185" t="s">
        <v>123</v>
      </c>
      <c r="F71" s="132" t="s">
        <v>123</v>
      </c>
      <c r="G71" s="276" t="s">
        <v>123</v>
      </c>
      <c r="H71" s="132" t="s">
        <v>123</v>
      </c>
      <c r="I71" s="160"/>
    </row>
    <row r="72" spans="1:9" ht="15.5" x14ac:dyDescent="0.35">
      <c r="A72" s="186"/>
      <c r="B72" s="387" t="s">
        <v>269</v>
      </c>
      <c r="C72" s="388"/>
      <c r="D72" s="388"/>
      <c r="E72" s="388"/>
      <c r="F72" s="388"/>
      <c r="G72" s="389"/>
      <c r="H72" s="187">
        <f>SUM(H71)</f>
        <v>0</v>
      </c>
      <c r="I72" s="188"/>
    </row>
    <row r="73" spans="1:9" ht="16.5" customHeight="1" x14ac:dyDescent="0.35">
      <c r="A73" s="176" t="s">
        <v>270</v>
      </c>
      <c r="B73" s="376" t="s">
        <v>271</v>
      </c>
      <c r="C73" s="376"/>
      <c r="D73" s="377"/>
      <c r="E73" s="177"/>
      <c r="F73" s="176"/>
      <c r="G73" s="176"/>
      <c r="H73" s="176"/>
      <c r="I73" s="176"/>
    </row>
    <row r="74" spans="1:9" ht="48.75" customHeight="1" x14ac:dyDescent="0.35">
      <c r="A74" s="286" t="s">
        <v>70</v>
      </c>
      <c r="B74" s="378" t="s">
        <v>272</v>
      </c>
      <c r="C74" s="379"/>
      <c r="D74" s="379"/>
      <c r="E74" s="216"/>
      <c r="F74" s="189" t="s">
        <v>72</v>
      </c>
      <c r="G74" s="282" t="s">
        <v>112</v>
      </c>
      <c r="H74" s="74">
        <f>IF(E74&gt;=80,2,0)</f>
        <v>0</v>
      </c>
      <c r="I74" s="169"/>
    </row>
    <row r="75" spans="1:9" ht="50.5" customHeight="1" x14ac:dyDescent="0.35">
      <c r="A75" s="286" t="s">
        <v>209</v>
      </c>
      <c r="B75" s="378" t="s">
        <v>273</v>
      </c>
      <c r="C75" s="379"/>
      <c r="D75" s="379"/>
      <c r="E75" s="185" t="s">
        <v>123</v>
      </c>
      <c r="F75" s="132" t="s">
        <v>123</v>
      </c>
      <c r="G75" s="276" t="s">
        <v>123</v>
      </c>
      <c r="H75" s="132" t="s">
        <v>123</v>
      </c>
      <c r="I75" s="169"/>
    </row>
    <row r="76" spans="1:9" ht="15.5" x14ac:dyDescent="0.35">
      <c r="A76" s="186"/>
      <c r="B76" s="387" t="s">
        <v>274</v>
      </c>
      <c r="C76" s="388"/>
      <c r="D76" s="388"/>
      <c r="E76" s="388"/>
      <c r="F76" s="388"/>
      <c r="G76" s="389"/>
      <c r="H76" s="187">
        <f>SUM(H74:H75)</f>
        <v>0</v>
      </c>
      <c r="I76" s="188"/>
    </row>
    <row r="77" spans="1:9" ht="15.5" x14ac:dyDescent="0.35">
      <c r="A77" s="176" t="s">
        <v>275</v>
      </c>
      <c r="B77" s="376" t="s">
        <v>276</v>
      </c>
      <c r="C77" s="376"/>
      <c r="D77" s="377"/>
      <c r="E77" s="177"/>
      <c r="F77" s="176"/>
      <c r="G77" s="176"/>
      <c r="H77" s="176"/>
      <c r="I77" s="176"/>
    </row>
    <row r="78" spans="1:9" ht="100" customHeight="1" x14ac:dyDescent="0.35">
      <c r="A78" s="286"/>
      <c r="B78" s="386" t="s">
        <v>277</v>
      </c>
      <c r="C78" s="386"/>
      <c r="D78" s="386"/>
      <c r="E78" s="216"/>
      <c r="F78" s="189" t="s">
        <v>72</v>
      </c>
      <c r="G78" s="282" t="s">
        <v>278</v>
      </c>
      <c r="H78" s="74">
        <f>IF(E78&gt;=90,3,IF(E78&gt;=60,2,IF(E78&gt;=30,1,0)))</f>
        <v>0</v>
      </c>
      <c r="I78" s="23"/>
    </row>
    <row r="79" spans="1:9" ht="15.5" x14ac:dyDescent="0.35">
      <c r="A79" s="186"/>
      <c r="B79" s="387" t="s">
        <v>279</v>
      </c>
      <c r="C79" s="388"/>
      <c r="D79" s="388"/>
      <c r="E79" s="388"/>
      <c r="F79" s="388"/>
      <c r="G79" s="389"/>
      <c r="H79" s="187">
        <f>H78</f>
        <v>0</v>
      </c>
      <c r="I79" s="188"/>
    </row>
    <row r="80" spans="1:9" s="300" customFormat="1" ht="18.649999999999999" customHeight="1" x14ac:dyDescent="0.35">
      <c r="A80" s="173"/>
      <c r="B80" s="384" t="s">
        <v>280</v>
      </c>
      <c r="C80" s="385"/>
      <c r="D80" s="385"/>
      <c r="E80" s="385"/>
      <c r="F80" s="385"/>
      <c r="G80" s="214">
        <v>2</v>
      </c>
      <c r="H80" s="198">
        <f>SUM(H82:H83)</f>
        <v>0</v>
      </c>
      <c r="I80" s="175"/>
    </row>
    <row r="81" spans="1:9" ht="65.150000000000006" customHeight="1" x14ac:dyDescent="0.35">
      <c r="A81" s="176"/>
      <c r="B81" s="390" t="s">
        <v>281</v>
      </c>
      <c r="C81" s="390"/>
      <c r="D81" s="390"/>
      <c r="E81" s="177"/>
      <c r="F81" s="176"/>
      <c r="G81" s="177" t="s">
        <v>179</v>
      </c>
      <c r="H81" s="176"/>
      <c r="I81" s="284" t="s">
        <v>180</v>
      </c>
    </row>
    <row r="82" spans="1:9" ht="183" customHeight="1" x14ac:dyDescent="0.35">
      <c r="A82" s="286"/>
      <c r="B82" s="386" t="s">
        <v>484</v>
      </c>
      <c r="C82" s="386"/>
      <c r="D82" s="386"/>
      <c r="E82" s="216"/>
      <c r="F82" s="87" t="s">
        <v>68</v>
      </c>
      <c r="G82" s="370" t="s">
        <v>182</v>
      </c>
      <c r="H82" s="74">
        <f>E82</f>
        <v>0</v>
      </c>
      <c r="I82" s="169" t="s">
        <v>183</v>
      </c>
    </row>
    <row r="83" spans="1:9" ht="183" customHeight="1" x14ac:dyDescent="0.35">
      <c r="A83" s="43"/>
      <c r="B83" s="386"/>
      <c r="C83" s="386"/>
      <c r="D83" s="386"/>
      <c r="E83" s="216"/>
      <c r="F83" s="87" t="s">
        <v>68</v>
      </c>
      <c r="G83" s="370"/>
      <c r="H83" s="74">
        <f>E83</f>
        <v>0</v>
      </c>
      <c r="I83" s="169" t="s">
        <v>184</v>
      </c>
    </row>
  </sheetData>
  <sheetProtection algorithmName="SHA-512" hashValue="dUcdjCzmWFAwK7+sBgcmltG/vijXSF786UJKBV7vLaF83lRUlWZxUTBmZc9uvlAtI/Wvlwi0AYIp+Sb70DK9RA==" saltValue="qPlBLI7imGwRqLEHsxa6Vg==" spinCount="100000" sheet="1" objects="1" scenarios="1" formatCells="0" selectLockedCells="1"/>
  <mergeCells count="105">
    <mergeCell ref="I7:I14"/>
    <mergeCell ref="E20:E24"/>
    <mergeCell ref="F20:F24"/>
    <mergeCell ref="G20:G24"/>
    <mergeCell ref="I42:I46"/>
    <mergeCell ref="H38:H41"/>
    <mergeCell ref="I38:I41"/>
    <mergeCell ref="I34:I37"/>
    <mergeCell ref="H20:H24"/>
    <mergeCell ref="I20:I24"/>
    <mergeCell ref="H7:H14"/>
    <mergeCell ref="B79:G79"/>
    <mergeCell ref="G38:G41"/>
    <mergeCell ref="B18:D18"/>
    <mergeCell ref="B4:D4"/>
    <mergeCell ref="B5:D5"/>
    <mergeCell ref="B6:D6"/>
    <mergeCell ref="B15:D15"/>
    <mergeCell ref="G42:G46"/>
    <mergeCell ref="B74:D74"/>
    <mergeCell ref="B66:D66"/>
    <mergeCell ref="B67:D67"/>
    <mergeCell ref="B61:D61"/>
    <mergeCell ref="B73:D73"/>
    <mergeCell ref="B17:D17"/>
    <mergeCell ref="B38:D38"/>
    <mergeCell ref="B42:D42"/>
    <mergeCell ref="B43:D43"/>
    <mergeCell ref="G53:G56"/>
    <mergeCell ref="G51:G52"/>
    <mergeCell ref="B72:G72"/>
    <mergeCell ref="B76:G76"/>
    <mergeCell ref="G7:G14"/>
    <mergeCell ref="B7:C7"/>
    <mergeCell ref="B19:D19"/>
    <mergeCell ref="A59:A60"/>
    <mergeCell ref="E34:E37"/>
    <mergeCell ref="F34:F37"/>
    <mergeCell ref="G34:G37"/>
    <mergeCell ref="H34:H37"/>
    <mergeCell ref="G59:G60"/>
    <mergeCell ref="B59:D60"/>
    <mergeCell ref="B48:D48"/>
    <mergeCell ref="B33:D33"/>
    <mergeCell ref="H42:H46"/>
    <mergeCell ref="H59:H60"/>
    <mergeCell ref="H51:H52"/>
    <mergeCell ref="H53:H56"/>
    <mergeCell ref="B24:D24"/>
    <mergeCell ref="A7:A14"/>
    <mergeCell ref="D7:D14"/>
    <mergeCell ref="B58:D58"/>
    <mergeCell ref="E7:E14"/>
    <mergeCell ref="F7:F14"/>
    <mergeCell ref="D34:D37"/>
    <mergeCell ref="A20:A24"/>
    <mergeCell ref="D39:D41"/>
    <mergeCell ref="A33:A37"/>
    <mergeCell ref="A38:A46"/>
    <mergeCell ref="E38:E41"/>
    <mergeCell ref="F38:F41"/>
    <mergeCell ref="A47:A48"/>
    <mergeCell ref="A49:A56"/>
    <mergeCell ref="B10:B14"/>
    <mergeCell ref="B8:B9"/>
    <mergeCell ref="B28:D28"/>
    <mergeCell ref="B1:D1"/>
    <mergeCell ref="B3:F3"/>
    <mergeCell ref="B30:F30"/>
    <mergeCell ref="B69:F69"/>
    <mergeCell ref="G82:G83"/>
    <mergeCell ref="B82:D83"/>
    <mergeCell ref="B16:G16"/>
    <mergeCell ref="B25:G25"/>
    <mergeCell ref="B29:G29"/>
    <mergeCell ref="B57:G57"/>
    <mergeCell ref="B62:G62"/>
    <mergeCell ref="B68:G68"/>
    <mergeCell ref="B81:D81"/>
    <mergeCell ref="B70:D70"/>
    <mergeCell ref="B71:D71"/>
    <mergeCell ref="B49:D49"/>
    <mergeCell ref="B50:D50"/>
    <mergeCell ref="B54:D54"/>
    <mergeCell ref="B55:D55"/>
    <mergeCell ref="B80:F80"/>
    <mergeCell ref="B75:D75"/>
    <mergeCell ref="B77:D77"/>
    <mergeCell ref="B78:D78"/>
    <mergeCell ref="A2:F2"/>
    <mergeCell ref="B63:D63"/>
    <mergeCell ref="B65:D65"/>
    <mergeCell ref="B56:D56"/>
    <mergeCell ref="B47:D47"/>
    <mergeCell ref="B44:D44"/>
    <mergeCell ref="B45:D45"/>
    <mergeCell ref="B46:D46"/>
    <mergeCell ref="B26:D26"/>
    <mergeCell ref="B27:D27"/>
    <mergeCell ref="B31:D31"/>
    <mergeCell ref="B32:D32"/>
    <mergeCell ref="B51:D51"/>
    <mergeCell ref="B52:D52"/>
    <mergeCell ref="B53:D53"/>
    <mergeCell ref="B64:D64"/>
  </mergeCells>
  <dataValidations count="9">
    <dataValidation type="decimal" allowBlank="1" showErrorMessage="1" error="Please enter 0.5 or 1 or 1.5 or 2." prompt="Please Enter 0 or 1 or 1.5 or 2." sqref="H82 H74" xr:uid="{00000000-0002-0000-0400-000000000000}">
      <formula1>0</formula1>
      <formula2>2</formula2>
    </dataValidation>
    <dataValidation allowBlank="1" showInputMessage="1" showErrorMessage="1" prompt="Please list down short description of your innovation." sqref="I74:I75 I82:I83" xr:uid="{00000000-0002-0000-0400-000001000000}"/>
    <dataValidation allowBlank="1" showErrorMessage="1" sqref="H83" xr:uid="{00000000-0002-0000-0400-000002000000}"/>
    <dataValidation type="list" allowBlank="1" showInputMessage="1" showErrorMessage="1" sqref="E52 E56 E54 E65:E67 E27" xr:uid="{00000000-0002-0000-0400-000003000000}">
      <formula1>"Y,N"</formula1>
    </dataValidation>
    <dataValidation type="decimal" allowBlank="1" showInputMessage="1" showErrorMessage="1" sqref="E53 E34:E37 E42:E46 E60:E61 E51 E78 E55 E74" xr:uid="{00000000-0002-0000-0400-000004000000}">
      <formula1>0</formula1>
      <formula2>100</formula2>
    </dataValidation>
    <dataValidation type="whole" allowBlank="1" showInputMessage="1" showErrorMessage="1" sqref="E48" xr:uid="{00000000-0002-0000-0400-000005000000}">
      <formula1>0</formula1>
      <formula2>100</formula2>
    </dataValidation>
    <dataValidation type="list" allowBlank="1" showInputMessage="1" showErrorMessage="1" sqref="E59" xr:uid="{00000000-0002-0000-0400-000006000000}">
      <formula1>"Cost,Area"</formula1>
    </dataValidation>
    <dataValidation type="decimal" allowBlank="1" showInputMessage="1" showErrorMessage="1" sqref="E18" xr:uid="{00000000-0002-0000-0400-000007000000}">
      <formula1>0</formula1>
      <formula2>10000</formula2>
    </dataValidation>
    <dataValidation type="list" showErrorMessage="1" error="Please enter 0.5 or 1 or 1.5 or 2." prompt="Please Enter 0.5 or 1 or 1.5 or 2." sqref="E82:E83" xr:uid="{00000000-0002-0000-0400-000008000000}">
      <formula1>"0, 0.5, 1.0, 1.5, 2.0"</formula1>
    </dataValidation>
  </dataValidations>
  <pageMargins left="0.7" right="0.7" top="0.75" bottom="0.75" header="0.3" footer="0.3"/>
  <pageSetup paperSize="9" scale="50" orientation="portrait" r:id="rId1"/>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1"/>
  <sheetViews>
    <sheetView zoomScale="85" zoomScaleNormal="85" workbookViewId="0">
      <selection activeCell="I67" sqref="I67"/>
    </sheetView>
  </sheetViews>
  <sheetFormatPr defaultColWidth="9.1796875" defaultRowHeight="14.5" x14ac:dyDescent="0.35"/>
  <cols>
    <col min="1" max="1" width="8.26953125" style="273" customWidth="1"/>
    <col min="2" max="2" width="22.26953125" style="273" customWidth="1"/>
    <col min="3" max="3" width="46.453125" style="273" customWidth="1"/>
    <col min="4" max="4" width="10.54296875" style="273" customWidth="1"/>
    <col min="5" max="5" width="10.7265625" style="294" customWidth="1"/>
    <col min="6" max="6" width="16.1796875" style="293" customWidth="1"/>
    <col min="7" max="7" width="18.1796875" style="273" customWidth="1"/>
    <col min="8" max="8" width="10.7265625" style="302" customWidth="1"/>
    <col min="9" max="9" width="30.7265625" style="273" customWidth="1"/>
    <col min="10" max="11" width="50.7265625" style="273" customWidth="1"/>
    <col min="12" max="12" width="15.54296875" style="273" customWidth="1"/>
    <col min="13" max="13" width="17.26953125" style="273" customWidth="1"/>
    <col min="14" max="16384" width="9.1796875" style="273"/>
  </cols>
  <sheetData>
    <row r="1" spans="1:9" ht="46.5" x14ac:dyDescent="0.35">
      <c r="A1" s="2"/>
      <c r="B1" s="381" t="s">
        <v>282</v>
      </c>
      <c r="C1" s="382"/>
      <c r="D1" s="383"/>
      <c r="E1" s="46" t="s">
        <v>63</v>
      </c>
      <c r="F1" s="46" t="s">
        <v>64</v>
      </c>
      <c r="G1" s="53" t="s">
        <v>84</v>
      </c>
      <c r="H1" s="46" t="s">
        <v>85</v>
      </c>
      <c r="I1" s="3" t="s">
        <v>86</v>
      </c>
    </row>
    <row r="2" spans="1:9" ht="21" x14ac:dyDescent="0.35">
      <c r="A2" s="464" t="s">
        <v>283</v>
      </c>
      <c r="B2" s="465"/>
      <c r="C2" s="465"/>
      <c r="D2" s="465"/>
      <c r="E2" s="465"/>
      <c r="F2" s="466"/>
      <c r="G2" s="219">
        <v>15</v>
      </c>
      <c r="H2" s="220">
        <f>MIN(SUM(H3,H40,H65,H88),15)</f>
        <v>0</v>
      </c>
      <c r="I2" s="221" t="s">
        <v>87</v>
      </c>
    </row>
    <row r="3" spans="1:9" ht="14.5" customHeight="1" x14ac:dyDescent="0.35">
      <c r="A3" s="222" t="s">
        <v>284</v>
      </c>
      <c r="B3" s="467" t="s">
        <v>285</v>
      </c>
      <c r="C3" s="468"/>
      <c r="D3" s="468"/>
      <c r="E3" s="468"/>
      <c r="F3" s="468"/>
      <c r="G3" s="223">
        <v>5</v>
      </c>
      <c r="H3" s="224">
        <f>MIN(SUM(H8,H12,H21,H29,H34,H39), 5)</f>
        <v>0</v>
      </c>
      <c r="I3" s="225"/>
    </row>
    <row r="4" spans="1:9" ht="15.5" x14ac:dyDescent="0.35">
      <c r="A4" s="226" t="s">
        <v>286</v>
      </c>
      <c r="B4" s="469" t="s">
        <v>287</v>
      </c>
      <c r="C4" s="469"/>
      <c r="D4" s="470"/>
      <c r="E4" s="227"/>
      <c r="F4" s="226"/>
      <c r="G4" s="226"/>
      <c r="H4" s="228"/>
      <c r="I4" s="226"/>
    </row>
    <row r="5" spans="1:9" ht="15.5" x14ac:dyDescent="0.35">
      <c r="A5" s="229" t="s">
        <v>288</v>
      </c>
      <c r="B5" s="471" t="s">
        <v>289</v>
      </c>
      <c r="C5" s="471"/>
      <c r="D5" s="471"/>
      <c r="E5" s="230"/>
      <c r="F5" s="229"/>
      <c r="G5" s="231"/>
      <c r="H5" s="232"/>
      <c r="I5" s="231"/>
    </row>
    <row r="6" spans="1:9" ht="80.25" customHeight="1" x14ac:dyDescent="0.35">
      <c r="A6" s="6" t="s">
        <v>207</v>
      </c>
      <c r="B6" s="386" t="s">
        <v>290</v>
      </c>
      <c r="C6" s="386"/>
      <c r="D6" s="386"/>
      <c r="E6" s="216"/>
      <c r="F6" s="287" t="s">
        <v>67</v>
      </c>
      <c r="G6" s="6" t="s">
        <v>95</v>
      </c>
      <c r="H6" s="283">
        <f>IF(E6="Y",1,0)</f>
        <v>0</v>
      </c>
      <c r="I6" s="245"/>
    </row>
    <row r="7" spans="1:9" ht="50.15" customHeight="1" x14ac:dyDescent="0.35">
      <c r="A7" s="6" t="s">
        <v>209</v>
      </c>
      <c r="B7" s="386" t="s">
        <v>291</v>
      </c>
      <c r="C7" s="386"/>
      <c r="D7" s="386"/>
      <c r="E7" s="216"/>
      <c r="F7" s="287" t="s">
        <v>67</v>
      </c>
      <c r="G7" s="6" t="s">
        <v>95</v>
      </c>
      <c r="H7" s="283">
        <f>IF(E7="Y",1,0)</f>
        <v>0</v>
      </c>
      <c r="I7" s="245"/>
    </row>
    <row r="8" spans="1:9" ht="15.5" x14ac:dyDescent="0.35">
      <c r="A8" s="452" t="s">
        <v>292</v>
      </c>
      <c r="B8" s="452"/>
      <c r="C8" s="452"/>
      <c r="D8" s="452"/>
      <c r="E8" s="452"/>
      <c r="F8" s="452"/>
      <c r="G8" s="452"/>
      <c r="H8" s="233">
        <f>SUM(H6:H7)</f>
        <v>0</v>
      </c>
      <c r="I8" s="234"/>
    </row>
    <row r="9" spans="1:9" ht="15.5" x14ac:dyDescent="0.35">
      <c r="A9" s="229" t="s">
        <v>293</v>
      </c>
      <c r="B9" s="459" t="s">
        <v>294</v>
      </c>
      <c r="C9" s="459"/>
      <c r="D9" s="459"/>
      <c r="E9" s="230"/>
      <c r="F9" s="229"/>
      <c r="G9" s="231"/>
      <c r="H9" s="232"/>
      <c r="I9" s="231"/>
    </row>
    <row r="10" spans="1:9" ht="176.25" customHeight="1" x14ac:dyDescent="0.35">
      <c r="A10" s="6" t="s">
        <v>70</v>
      </c>
      <c r="B10" s="378" t="s">
        <v>295</v>
      </c>
      <c r="C10" s="379"/>
      <c r="D10" s="392"/>
      <c r="E10" s="216"/>
      <c r="F10" s="287" t="s">
        <v>296</v>
      </c>
      <c r="G10" s="282" t="s">
        <v>297</v>
      </c>
      <c r="H10" s="283">
        <f>IF(E10="A",0.5,IF(E10="B",1,0))</f>
        <v>0</v>
      </c>
      <c r="I10" s="245"/>
    </row>
    <row r="11" spans="1:9" ht="81" customHeight="1" x14ac:dyDescent="0.35">
      <c r="A11" s="6" t="s">
        <v>71</v>
      </c>
      <c r="B11" s="379" t="s">
        <v>298</v>
      </c>
      <c r="C11" s="379"/>
      <c r="D11" s="379"/>
      <c r="E11" s="290" t="s">
        <v>123</v>
      </c>
      <c r="F11" s="287" t="s">
        <v>123</v>
      </c>
      <c r="G11" s="282" t="s">
        <v>123</v>
      </c>
      <c r="H11" s="283" t="s">
        <v>123</v>
      </c>
      <c r="I11" s="245"/>
    </row>
    <row r="12" spans="1:9" ht="15.5" x14ac:dyDescent="0.35">
      <c r="A12" s="452" t="s">
        <v>299</v>
      </c>
      <c r="B12" s="452"/>
      <c r="C12" s="452"/>
      <c r="D12" s="452"/>
      <c r="E12" s="452"/>
      <c r="F12" s="452"/>
      <c r="G12" s="452"/>
      <c r="H12" s="233">
        <f>SUM(H10:H11)</f>
        <v>0</v>
      </c>
      <c r="I12" s="234"/>
    </row>
    <row r="13" spans="1:9" ht="15.75" customHeight="1" x14ac:dyDescent="0.35">
      <c r="A13" s="226" t="s">
        <v>300</v>
      </c>
      <c r="B13" s="476" t="s">
        <v>301</v>
      </c>
      <c r="C13" s="476"/>
      <c r="D13" s="477"/>
      <c r="E13" s="227"/>
      <c r="F13" s="226"/>
      <c r="G13" s="226"/>
      <c r="H13" s="228"/>
      <c r="I13" s="226"/>
    </row>
    <row r="14" spans="1:9" ht="80.150000000000006" customHeight="1" thickBot="1" x14ac:dyDescent="0.4">
      <c r="A14" s="460"/>
      <c r="B14" s="425" t="s">
        <v>302</v>
      </c>
      <c r="C14" s="426"/>
      <c r="D14" s="392"/>
      <c r="E14" s="290"/>
      <c r="F14" s="285"/>
      <c r="G14" s="8"/>
      <c r="H14" s="283"/>
      <c r="I14" s="301"/>
    </row>
    <row r="15" spans="1:9" ht="15.5" x14ac:dyDescent="0.35">
      <c r="A15" s="461"/>
      <c r="B15" s="481" t="s">
        <v>303</v>
      </c>
      <c r="C15" s="482"/>
      <c r="D15" s="475"/>
      <c r="E15" s="456"/>
      <c r="F15" s="422"/>
      <c r="G15" s="419"/>
      <c r="H15" s="422"/>
      <c r="I15" s="478"/>
    </row>
    <row r="16" spans="1:9" ht="15" customHeight="1" x14ac:dyDescent="0.35">
      <c r="A16" s="461"/>
      <c r="B16" s="483" t="s">
        <v>304</v>
      </c>
      <c r="C16" s="484"/>
      <c r="D16" s="405"/>
      <c r="E16" s="456"/>
      <c r="F16" s="422"/>
      <c r="G16" s="419"/>
      <c r="H16" s="422"/>
      <c r="I16" s="479"/>
    </row>
    <row r="17" spans="1:9" ht="55" x14ac:dyDescent="0.35">
      <c r="A17" s="461"/>
      <c r="B17" s="235" t="s">
        <v>305</v>
      </c>
      <c r="C17" s="236" t="s">
        <v>306</v>
      </c>
      <c r="D17" s="405"/>
      <c r="E17" s="456"/>
      <c r="F17" s="422"/>
      <c r="G17" s="419"/>
      <c r="H17" s="422"/>
      <c r="I17" s="479"/>
    </row>
    <row r="18" spans="1:9" ht="43" customHeight="1" x14ac:dyDescent="0.35">
      <c r="A18" s="461"/>
      <c r="B18" s="237" t="s">
        <v>307</v>
      </c>
      <c r="C18" s="236" t="s">
        <v>308</v>
      </c>
      <c r="D18" s="405"/>
      <c r="E18" s="456"/>
      <c r="F18" s="422"/>
      <c r="G18" s="419"/>
      <c r="H18" s="422"/>
      <c r="I18" s="479"/>
    </row>
    <row r="19" spans="1:9" ht="67" customHeight="1" thickBot="1" x14ac:dyDescent="0.4">
      <c r="A19" s="461"/>
      <c r="B19" s="485" t="s">
        <v>309</v>
      </c>
      <c r="C19" s="486"/>
      <c r="D19" s="406"/>
      <c r="E19" s="456"/>
      <c r="F19" s="422"/>
      <c r="G19" s="419"/>
      <c r="H19" s="422"/>
      <c r="I19" s="480"/>
    </row>
    <row r="20" spans="1:9" ht="30" customHeight="1" x14ac:dyDescent="0.35">
      <c r="A20" s="461"/>
      <c r="B20" s="472" t="s">
        <v>310</v>
      </c>
      <c r="C20" s="473"/>
      <c r="D20" s="474"/>
      <c r="E20" s="216"/>
      <c r="F20" s="287" t="s">
        <v>72</v>
      </c>
      <c r="G20" s="282" t="s">
        <v>95</v>
      </c>
      <c r="H20" s="288">
        <f>IF(E20&gt;=80,1,0)</f>
        <v>0</v>
      </c>
      <c r="I20" s="246"/>
    </row>
    <row r="21" spans="1:9" ht="15.5" x14ac:dyDescent="0.35">
      <c r="A21" s="452" t="s">
        <v>311</v>
      </c>
      <c r="B21" s="452"/>
      <c r="C21" s="452"/>
      <c r="D21" s="452"/>
      <c r="E21" s="452"/>
      <c r="F21" s="452"/>
      <c r="G21" s="452"/>
      <c r="H21" s="233">
        <f>SUM(H14:H20)</f>
        <v>0</v>
      </c>
      <c r="I21" s="234"/>
    </row>
    <row r="22" spans="1:9" ht="15.5" x14ac:dyDescent="0.35">
      <c r="A22" s="226" t="s">
        <v>312</v>
      </c>
      <c r="B22" s="476" t="s">
        <v>313</v>
      </c>
      <c r="C22" s="476"/>
      <c r="D22" s="476"/>
      <c r="E22" s="227"/>
      <c r="F22" s="238"/>
      <c r="G22" s="226"/>
      <c r="H22" s="228"/>
      <c r="I22" s="226"/>
    </row>
    <row r="23" spans="1:9" ht="15.75" customHeight="1" x14ac:dyDescent="0.35">
      <c r="A23" s="229" t="s">
        <v>314</v>
      </c>
      <c r="B23" s="459" t="s">
        <v>315</v>
      </c>
      <c r="C23" s="459"/>
      <c r="D23" s="459"/>
      <c r="E23" s="230"/>
      <c r="F23" s="239"/>
      <c r="G23" s="231"/>
      <c r="H23" s="232"/>
      <c r="I23" s="231"/>
    </row>
    <row r="24" spans="1:9" ht="136.5" customHeight="1" x14ac:dyDescent="0.35">
      <c r="A24" s="409" t="s">
        <v>207</v>
      </c>
      <c r="B24" s="393" t="s">
        <v>316</v>
      </c>
      <c r="C24" s="393"/>
      <c r="D24" s="393"/>
      <c r="E24" s="290"/>
      <c r="F24" s="240"/>
      <c r="G24" s="6"/>
      <c r="H24" s="283"/>
      <c r="I24" s="217"/>
    </row>
    <row r="25" spans="1:9" ht="15.5" x14ac:dyDescent="0.35">
      <c r="A25" s="411"/>
      <c r="B25" s="457" t="s">
        <v>317</v>
      </c>
      <c r="C25" s="393"/>
      <c r="D25" s="458"/>
      <c r="E25" s="216"/>
      <c r="F25" s="240" t="s">
        <v>67</v>
      </c>
      <c r="G25" s="364" t="s">
        <v>297</v>
      </c>
      <c r="H25" s="423">
        <f>IF(AND(E25="Y",E26="Y",E27&gt;=90),1,IF(AND(E25="Y",E26="Y",E27&gt;=50),0.5,0))</f>
        <v>0</v>
      </c>
      <c r="I25" s="217"/>
    </row>
    <row r="26" spans="1:9" ht="47.5" customHeight="1" x14ac:dyDescent="0.35">
      <c r="A26" s="411"/>
      <c r="B26" s="457" t="s">
        <v>318</v>
      </c>
      <c r="C26" s="393"/>
      <c r="D26" s="458"/>
      <c r="E26" s="216"/>
      <c r="F26" s="240" t="s">
        <v>67</v>
      </c>
      <c r="G26" s="411"/>
      <c r="H26" s="424"/>
      <c r="I26" s="217"/>
    </row>
    <row r="27" spans="1:9" ht="49.5" customHeight="1" x14ac:dyDescent="0.35">
      <c r="A27" s="412"/>
      <c r="B27" s="457" t="s">
        <v>319</v>
      </c>
      <c r="C27" s="393"/>
      <c r="D27" s="458"/>
      <c r="E27" s="216"/>
      <c r="F27" s="240" t="s">
        <v>72</v>
      </c>
      <c r="G27" s="412"/>
      <c r="H27" s="431"/>
      <c r="I27" s="217"/>
    </row>
    <row r="28" spans="1:9" ht="144" customHeight="1" x14ac:dyDescent="0.35">
      <c r="A28" s="6" t="s">
        <v>209</v>
      </c>
      <c r="B28" s="336" t="s">
        <v>320</v>
      </c>
      <c r="C28" s="336"/>
      <c r="D28" s="336"/>
      <c r="E28" s="290" t="s">
        <v>123</v>
      </c>
      <c r="F28" s="287" t="s">
        <v>123</v>
      </c>
      <c r="G28" s="282" t="s">
        <v>123</v>
      </c>
      <c r="H28" s="283" t="s">
        <v>123</v>
      </c>
      <c r="I28" s="217"/>
    </row>
    <row r="29" spans="1:9" ht="15.5" x14ac:dyDescent="0.35">
      <c r="A29" s="452" t="s">
        <v>321</v>
      </c>
      <c r="B29" s="452"/>
      <c r="C29" s="452"/>
      <c r="D29" s="452"/>
      <c r="E29" s="452"/>
      <c r="F29" s="452"/>
      <c r="G29" s="452"/>
      <c r="H29" s="233">
        <f>SUM(H24:H28)</f>
        <v>0</v>
      </c>
      <c r="I29" s="234"/>
    </row>
    <row r="30" spans="1:9" ht="15.75" customHeight="1" x14ac:dyDescent="0.35">
      <c r="A30" s="229" t="s">
        <v>322</v>
      </c>
      <c r="B30" s="451" t="s">
        <v>323</v>
      </c>
      <c r="C30" s="451"/>
      <c r="D30" s="451"/>
      <c r="E30" s="230"/>
      <c r="F30" s="229"/>
      <c r="G30" s="231"/>
      <c r="H30" s="232"/>
      <c r="I30" s="231"/>
    </row>
    <row r="31" spans="1:9" ht="81" customHeight="1" x14ac:dyDescent="0.35">
      <c r="A31" s="276" t="s">
        <v>70</v>
      </c>
      <c r="B31" s="386" t="s">
        <v>324</v>
      </c>
      <c r="C31" s="386"/>
      <c r="D31" s="386"/>
      <c r="E31" s="290" t="s">
        <v>123</v>
      </c>
      <c r="F31" s="287" t="s">
        <v>123</v>
      </c>
      <c r="G31" s="282" t="s">
        <v>123</v>
      </c>
      <c r="H31" s="283" t="s">
        <v>123</v>
      </c>
      <c r="I31" s="217"/>
    </row>
    <row r="32" spans="1:9" ht="33.65" customHeight="1" x14ac:dyDescent="0.35">
      <c r="A32" s="276" t="s">
        <v>71</v>
      </c>
      <c r="B32" s="386" t="s">
        <v>325</v>
      </c>
      <c r="C32" s="386"/>
      <c r="D32" s="386"/>
      <c r="E32" s="290" t="s">
        <v>123</v>
      </c>
      <c r="F32" s="287" t="s">
        <v>123</v>
      </c>
      <c r="G32" s="282" t="s">
        <v>123</v>
      </c>
      <c r="H32" s="283" t="s">
        <v>123</v>
      </c>
      <c r="I32" s="217"/>
    </row>
    <row r="33" spans="1:9" ht="63" customHeight="1" x14ac:dyDescent="0.35">
      <c r="A33" s="276" t="s">
        <v>73</v>
      </c>
      <c r="B33" s="386" t="s">
        <v>326</v>
      </c>
      <c r="C33" s="386"/>
      <c r="D33" s="386"/>
      <c r="E33" s="290" t="s">
        <v>123</v>
      </c>
      <c r="F33" s="287" t="s">
        <v>123</v>
      </c>
      <c r="G33" s="282" t="s">
        <v>123</v>
      </c>
      <c r="H33" s="283" t="s">
        <v>123</v>
      </c>
      <c r="I33" s="217"/>
    </row>
    <row r="34" spans="1:9" ht="15.5" x14ac:dyDescent="0.35">
      <c r="A34" s="452" t="s">
        <v>327</v>
      </c>
      <c r="B34" s="452"/>
      <c r="C34" s="452"/>
      <c r="D34" s="452"/>
      <c r="E34" s="452"/>
      <c r="F34" s="452"/>
      <c r="G34" s="452"/>
      <c r="H34" s="233">
        <f>SUM(H31:H33)</f>
        <v>0</v>
      </c>
      <c r="I34" s="234"/>
    </row>
    <row r="35" spans="1:9" ht="15.75" customHeight="1" x14ac:dyDescent="0.35">
      <c r="A35" s="229" t="s">
        <v>328</v>
      </c>
      <c r="B35" s="451" t="s">
        <v>329</v>
      </c>
      <c r="C35" s="451"/>
      <c r="D35" s="451"/>
      <c r="E35" s="230"/>
      <c r="F35" s="229"/>
      <c r="G35" s="231"/>
      <c r="H35" s="232"/>
      <c r="I35" s="231"/>
    </row>
    <row r="36" spans="1:9" ht="15.65" customHeight="1" x14ac:dyDescent="0.35">
      <c r="A36" s="276" t="s">
        <v>70</v>
      </c>
      <c r="B36" s="462" t="s">
        <v>330</v>
      </c>
      <c r="C36" s="462"/>
      <c r="D36" s="462"/>
      <c r="E36" s="290" t="s">
        <v>123</v>
      </c>
      <c r="F36" s="287" t="s">
        <v>123</v>
      </c>
      <c r="G36" s="282" t="s">
        <v>123</v>
      </c>
      <c r="H36" s="283" t="s">
        <v>123</v>
      </c>
      <c r="I36" s="217"/>
    </row>
    <row r="37" spans="1:9" ht="64.5" customHeight="1" x14ac:dyDescent="0.35">
      <c r="A37" s="276" t="s">
        <v>71</v>
      </c>
      <c r="B37" s="386" t="s">
        <v>331</v>
      </c>
      <c r="C37" s="386"/>
      <c r="D37" s="386"/>
      <c r="E37" s="290" t="s">
        <v>123</v>
      </c>
      <c r="F37" s="287" t="s">
        <v>123</v>
      </c>
      <c r="G37" s="282" t="s">
        <v>123</v>
      </c>
      <c r="H37" s="283" t="s">
        <v>123</v>
      </c>
      <c r="I37" s="217"/>
    </row>
    <row r="38" spans="1:9" ht="47.15" customHeight="1" x14ac:dyDescent="0.35">
      <c r="A38" s="276" t="s">
        <v>73</v>
      </c>
      <c r="B38" s="386" t="s">
        <v>332</v>
      </c>
      <c r="C38" s="386"/>
      <c r="D38" s="386"/>
      <c r="E38" s="216"/>
      <c r="F38" s="189" t="s">
        <v>67</v>
      </c>
      <c r="G38" s="282" t="s">
        <v>95</v>
      </c>
      <c r="H38" s="283">
        <f>IF(E38="Y",1,0)</f>
        <v>0</v>
      </c>
      <c r="I38" s="217"/>
    </row>
    <row r="39" spans="1:9" ht="15.5" x14ac:dyDescent="0.35">
      <c r="A39" s="452" t="s">
        <v>333</v>
      </c>
      <c r="B39" s="452"/>
      <c r="C39" s="452"/>
      <c r="D39" s="452"/>
      <c r="E39" s="452"/>
      <c r="F39" s="452"/>
      <c r="G39" s="452"/>
      <c r="H39" s="233">
        <f>SUM(H36:H38)</f>
        <v>0</v>
      </c>
      <c r="I39" s="234"/>
    </row>
    <row r="40" spans="1:9" ht="15.5" x14ac:dyDescent="0.35">
      <c r="A40" s="222" t="s">
        <v>334</v>
      </c>
      <c r="B40" s="455" t="s">
        <v>335</v>
      </c>
      <c r="C40" s="455"/>
      <c r="D40" s="455"/>
      <c r="E40" s="455"/>
      <c r="F40" s="455"/>
      <c r="G40" s="222">
        <v>5</v>
      </c>
      <c r="H40" s="241">
        <f>MIN(SUM(H47,H53,H57,H64),5)</f>
        <v>0</v>
      </c>
      <c r="I40" s="242"/>
    </row>
    <row r="41" spans="1:9" ht="15.5" x14ac:dyDescent="0.35">
      <c r="A41" s="226" t="s">
        <v>336</v>
      </c>
      <c r="B41" s="449" t="s">
        <v>337</v>
      </c>
      <c r="C41" s="450"/>
      <c r="D41" s="450"/>
      <c r="E41" s="227"/>
      <c r="F41" s="226"/>
      <c r="G41" s="226">
        <v>5</v>
      </c>
      <c r="H41" s="228"/>
      <c r="I41" s="226"/>
    </row>
    <row r="42" spans="1:9" ht="48.65" customHeight="1" x14ac:dyDescent="0.35">
      <c r="A42" s="243"/>
      <c r="B42" s="463" t="s">
        <v>338</v>
      </c>
      <c r="C42" s="463"/>
      <c r="D42" s="463"/>
      <c r="E42" s="290"/>
      <c r="F42" s="189"/>
      <c r="G42" s="282"/>
      <c r="H42" s="283"/>
      <c r="I42" s="217"/>
    </row>
    <row r="43" spans="1:9" ht="15.75" customHeight="1" x14ac:dyDescent="0.35">
      <c r="A43" s="276" t="s">
        <v>70</v>
      </c>
      <c r="B43" s="386" t="s">
        <v>339</v>
      </c>
      <c r="C43" s="386"/>
      <c r="D43" s="386"/>
      <c r="E43" s="216"/>
      <c r="F43" s="189" t="s">
        <v>67</v>
      </c>
      <c r="G43" s="282" t="s">
        <v>95</v>
      </c>
      <c r="H43" s="283">
        <f>IF(E43="Y",1,0)</f>
        <v>0</v>
      </c>
      <c r="I43" s="217"/>
    </row>
    <row r="44" spans="1:9" ht="32.15" customHeight="1" x14ac:dyDescent="0.35">
      <c r="A44" s="276" t="s">
        <v>71</v>
      </c>
      <c r="B44" s="386" t="s">
        <v>340</v>
      </c>
      <c r="C44" s="386"/>
      <c r="D44" s="386"/>
      <c r="E44" s="216"/>
      <c r="F44" s="189" t="s">
        <v>67</v>
      </c>
      <c r="G44" s="282" t="s">
        <v>95</v>
      </c>
      <c r="H44" s="283">
        <f>IF(E44="Y",1,0)</f>
        <v>0</v>
      </c>
      <c r="I44" s="217"/>
    </row>
    <row r="45" spans="1:9" ht="32.15" customHeight="1" x14ac:dyDescent="0.35">
      <c r="A45" s="276" t="s">
        <v>73</v>
      </c>
      <c r="B45" s="386" t="s">
        <v>341</v>
      </c>
      <c r="C45" s="386"/>
      <c r="D45" s="386"/>
      <c r="E45" s="216"/>
      <c r="F45" s="189" t="s">
        <v>67</v>
      </c>
      <c r="G45" s="282" t="s">
        <v>245</v>
      </c>
      <c r="H45" s="283">
        <f t="shared" ref="H45:H46" si="0">IF(E45="Y",0.5,0)</f>
        <v>0</v>
      </c>
      <c r="I45" s="217"/>
    </row>
    <row r="46" spans="1:9" ht="31.5" customHeight="1" x14ac:dyDescent="0.35">
      <c r="A46" s="276" t="s">
        <v>75</v>
      </c>
      <c r="B46" s="386" t="s">
        <v>342</v>
      </c>
      <c r="C46" s="386" t="s">
        <v>226</v>
      </c>
      <c r="D46" s="386"/>
      <c r="E46" s="216"/>
      <c r="F46" s="189" t="s">
        <v>67</v>
      </c>
      <c r="G46" s="282" t="s">
        <v>245</v>
      </c>
      <c r="H46" s="283">
        <f t="shared" si="0"/>
        <v>0</v>
      </c>
      <c r="I46" s="217"/>
    </row>
    <row r="47" spans="1:9" ht="15.5" x14ac:dyDescent="0.35">
      <c r="A47" s="452" t="s">
        <v>343</v>
      </c>
      <c r="B47" s="452"/>
      <c r="C47" s="452"/>
      <c r="D47" s="452"/>
      <c r="E47" s="452"/>
      <c r="F47" s="452"/>
      <c r="G47" s="452"/>
      <c r="H47" s="233">
        <f>SUM(H43:H46)</f>
        <v>0</v>
      </c>
      <c r="I47" s="234"/>
    </row>
    <row r="48" spans="1:9" ht="15.5" x14ac:dyDescent="0.35">
      <c r="A48" s="226" t="s">
        <v>344</v>
      </c>
      <c r="B48" s="449" t="s">
        <v>345</v>
      </c>
      <c r="C48" s="450"/>
      <c r="D48" s="450"/>
      <c r="E48" s="227"/>
      <c r="F48" s="226"/>
      <c r="G48" s="226"/>
      <c r="H48" s="228"/>
      <c r="I48" s="226"/>
    </row>
    <row r="49" spans="1:9" ht="32.15" customHeight="1" x14ac:dyDescent="0.35">
      <c r="A49" s="276"/>
      <c r="B49" s="386" t="s">
        <v>346</v>
      </c>
      <c r="C49" s="386"/>
      <c r="D49" s="386"/>
      <c r="E49" s="290"/>
      <c r="F49" s="287"/>
      <c r="G49" s="6"/>
      <c r="H49" s="283"/>
      <c r="I49" s="160"/>
    </row>
    <row r="50" spans="1:9" ht="31" customHeight="1" x14ac:dyDescent="0.35">
      <c r="A50" s="276" t="s">
        <v>70</v>
      </c>
      <c r="B50" s="386" t="s">
        <v>347</v>
      </c>
      <c r="C50" s="386"/>
      <c r="D50" s="386"/>
      <c r="E50" s="290" t="s">
        <v>123</v>
      </c>
      <c r="F50" s="287" t="s">
        <v>123</v>
      </c>
      <c r="G50" s="282" t="s">
        <v>123</v>
      </c>
      <c r="H50" s="283" t="s">
        <v>123</v>
      </c>
      <c r="I50" s="160"/>
    </row>
    <row r="51" spans="1:9" ht="64.5" customHeight="1" x14ac:dyDescent="0.35">
      <c r="A51" s="276" t="s">
        <v>71</v>
      </c>
      <c r="B51" s="386" t="s">
        <v>348</v>
      </c>
      <c r="C51" s="386"/>
      <c r="D51" s="386"/>
      <c r="E51" s="290" t="s">
        <v>123</v>
      </c>
      <c r="F51" s="287" t="s">
        <v>123</v>
      </c>
      <c r="G51" s="282" t="s">
        <v>123</v>
      </c>
      <c r="H51" s="283" t="s">
        <v>123</v>
      </c>
      <c r="I51" s="160"/>
    </row>
    <row r="52" spans="1:9" ht="65.150000000000006" customHeight="1" x14ac:dyDescent="0.35">
      <c r="A52" s="276" t="s">
        <v>73</v>
      </c>
      <c r="B52" s="386" t="s">
        <v>349</v>
      </c>
      <c r="C52" s="386" t="s">
        <v>230</v>
      </c>
      <c r="D52" s="386"/>
      <c r="E52" s="290" t="s">
        <v>123</v>
      </c>
      <c r="F52" s="287" t="s">
        <v>123</v>
      </c>
      <c r="G52" s="282" t="s">
        <v>123</v>
      </c>
      <c r="H52" s="283" t="s">
        <v>123</v>
      </c>
      <c r="I52" s="160"/>
    </row>
    <row r="53" spans="1:9" ht="15.5" x14ac:dyDescent="0.35">
      <c r="A53" s="452" t="s">
        <v>350</v>
      </c>
      <c r="B53" s="452"/>
      <c r="C53" s="452"/>
      <c r="D53" s="452"/>
      <c r="E53" s="452"/>
      <c r="F53" s="452"/>
      <c r="G53" s="452"/>
      <c r="H53" s="233">
        <f>SUM(H50:H52)</f>
        <v>0</v>
      </c>
      <c r="I53" s="234"/>
    </row>
    <row r="54" spans="1:9" ht="15.5" x14ac:dyDescent="0.35">
      <c r="A54" s="226" t="s">
        <v>351</v>
      </c>
      <c r="B54" s="449" t="s">
        <v>352</v>
      </c>
      <c r="C54" s="450" t="s">
        <v>232</v>
      </c>
      <c r="D54" s="450"/>
      <c r="E54" s="227"/>
      <c r="F54" s="226"/>
      <c r="G54" s="226"/>
      <c r="H54" s="228"/>
      <c r="I54" s="226"/>
    </row>
    <row r="55" spans="1:9" ht="15.75" customHeight="1" x14ac:dyDescent="0.35">
      <c r="A55" s="229" t="s">
        <v>353</v>
      </c>
      <c r="B55" s="451" t="s">
        <v>354</v>
      </c>
      <c r="C55" s="451"/>
      <c r="D55" s="451"/>
      <c r="E55" s="230"/>
      <c r="F55" s="229"/>
      <c r="G55" s="231"/>
      <c r="H55" s="232"/>
      <c r="I55" s="231"/>
    </row>
    <row r="56" spans="1:9" ht="97.5" customHeight="1" x14ac:dyDescent="0.35">
      <c r="A56" s="276"/>
      <c r="B56" s="386" t="s">
        <v>355</v>
      </c>
      <c r="C56" s="386"/>
      <c r="D56" s="386"/>
      <c r="E56" s="216"/>
      <c r="F56" s="287" t="s">
        <v>67</v>
      </c>
      <c r="G56" s="282" t="s">
        <v>245</v>
      </c>
      <c r="H56" s="283">
        <f t="shared" ref="H56" si="1">IF(E56="Y",0.5,0)</f>
        <v>0</v>
      </c>
      <c r="I56" s="160"/>
    </row>
    <row r="57" spans="1:9" ht="15.5" x14ac:dyDescent="0.35">
      <c r="A57" s="452" t="s">
        <v>356</v>
      </c>
      <c r="B57" s="452"/>
      <c r="C57" s="452"/>
      <c r="D57" s="452"/>
      <c r="E57" s="452"/>
      <c r="F57" s="452"/>
      <c r="G57" s="452"/>
      <c r="H57" s="233">
        <f>H56</f>
        <v>0</v>
      </c>
      <c r="I57" s="234"/>
    </row>
    <row r="58" spans="1:9" ht="15.75" customHeight="1" x14ac:dyDescent="0.35">
      <c r="A58" s="229" t="s">
        <v>357</v>
      </c>
      <c r="B58" s="451" t="s">
        <v>358</v>
      </c>
      <c r="C58" s="451"/>
      <c r="D58" s="451"/>
      <c r="E58" s="230"/>
      <c r="F58" s="229" t="s">
        <v>72</v>
      </c>
      <c r="G58" s="231"/>
      <c r="H58" s="232"/>
      <c r="I58" s="231"/>
    </row>
    <row r="59" spans="1:9" ht="15.5" x14ac:dyDescent="0.35">
      <c r="A59" s="276"/>
      <c r="B59" s="386" t="s">
        <v>359</v>
      </c>
      <c r="C59" s="453"/>
      <c r="D59" s="453"/>
      <c r="E59" s="290"/>
      <c r="F59" s="287"/>
      <c r="G59" s="282"/>
      <c r="H59" s="283"/>
      <c r="I59" s="160"/>
    </row>
    <row r="60" spans="1:9" ht="33.65" customHeight="1" x14ac:dyDescent="0.35">
      <c r="A60" s="276" t="s">
        <v>70</v>
      </c>
      <c r="B60" s="386" t="s">
        <v>360</v>
      </c>
      <c r="C60" s="453"/>
      <c r="D60" s="453"/>
      <c r="E60" s="290" t="s">
        <v>123</v>
      </c>
      <c r="F60" s="287" t="s">
        <v>123</v>
      </c>
      <c r="G60" s="282" t="s">
        <v>123</v>
      </c>
      <c r="H60" s="283" t="s">
        <v>123</v>
      </c>
      <c r="I60" s="160"/>
    </row>
    <row r="61" spans="1:9" ht="80.150000000000006" customHeight="1" x14ac:dyDescent="0.35">
      <c r="A61" s="276" t="s">
        <v>71</v>
      </c>
      <c r="B61" s="386" t="s">
        <v>361</v>
      </c>
      <c r="C61" s="453"/>
      <c r="D61" s="453"/>
      <c r="E61" s="290" t="s">
        <v>123</v>
      </c>
      <c r="F61" s="287" t="s">
        <v>123</v>
      </c>
      <c r="G61" s="282" t="s">
        <v>123</v>
      </c>
      <c r="H61" s="283" t="s">
        <v>123</v>
      </c>
      <c r="I61" s="160"/>
    </row>
    <row r="62" spans="1:9" ht="34" customHeight="1" x14ac:dyDescent="0.35">
      <c r="A62" s="276" t="s">
        <v>73</v>
      </c>
      <c r="B62" s="386" t="s">
        <v>362</v>
      </c>
      <c r="C62" s="453"/>
      <c r="D62" s="453"/>
      <c r="E62" s="290" t="s">
        <v>123</v>
      </c>
      <c r="F62" s="287" t="s">
        <v>123</v>
      </c>
      <c r="G62" s="282" t="s">
        <v>123</v>
      </c>
      <c r="H62" s="283" t="s">
        <v>123</v>
      </c>
      <c r="I62" s="160"/>
    </row>
    <row r="63" spans="1:9" ht="49" customHeight="1" x14ac:dyDescent="0.35">
      <c r="A63" s="276" t="s">
        <v>75</v>
      </c>
      <c r="B63" s="386" t="s">
        <v>363</v>
      </c>
      <c r="C63" s="453"/>
      <c r="D63" s="453"/>
      <c r="E63" s="290" t="s">
        <v>123</v>
      </c>
      <c r="F63" s="287" t="s">
        <v>123</v>
      </c>
      <c r="G63" s="282" t="s">
        <v>123</v>
      </c>
      <c r="H63" s="283" t="s">
        <v>123</v>
      </c>
      <c r="I63" s="160"/>
    </row>
    <row r="64" spans="1:9" ht="15.5" x14ac:dyDescent="0.35">
      <c r="A64" s="452" t="s">
        <v>364</v>
      </c>
      <c r="B64" s="452"/>
      <c r="C64" s="452"/>
      <c r="D64" s="452"/>
      <c r="E64" s="452"/>
      <c r="F64" s="452"/>
      <c r="G64" s="452"/>
      <c r="H64" s="233">
        <f>SUM(H61:H63)</f>
        <v>0</v>
      </c>
      <c r="I64" s="234"/>
    </row>
    <row r="65" spans="1:9" ht="15.5" x14ac:dyDescent="0.35">
      <c r="A65" s="222" t="s">
        <v>365</v>
      </c>
      <c r="B65" s="455" t="s">
        <v>366</v>
      </c>
      <c r="C65" s="455"/>
      <c r="D65" s="455"/>
      <c r="E65" s="455"/>
      <c r="F65" s="455" t="s">
        <v>68</v>
      </c>
      <c r="G65" s="222">
        <v>5</v>
      </c>
      <c r="H65" s="241">
        <f>MIN(SUM(H68,H74,H77,H81,H87),5)</f>
        <v>0</v>
      </c>
      <c r="I65" s="242"/>
    </row>
    <row r="66" spans="1:9" ht="15.5" x14ac:dyDescent="0.35">
      <c r="A66" s="226" t="s">
        <v>367</v>
      </c>
      <c r="B66" s="449" t="s">
        <v>368</v>
      </c>
      <c r="C66" s="450"/>
      <c r="D66" s="450"/>
      <c r="E66" s="227"/>
      <c r="F66" s="226" t="s">
        <v>68</v>
      </c>
      <c r="G66" s="226" t="s">
        <v>123</v>
      </c>
      <c r="H66" s="228"/>
      <c r="I66" s="226"/>
    </row>
    <row r="67" spans="1:9" ht="47.5" customHeight="1" x14ac:dyDescent="0.35">
      <c r="A67" s="276"/>
      <c r="B67" s="453" t="s">
        <v>480</v>
      </c>
      <c r="C67" s="453"/>
      <c r="D67" s="453"/>
      <c r="E67" s="290" t="s">
        <v>123</v>
      </c>
      <c r="F67" s="287" t="s">
        <v>123</v>
      </c>
      <c r="G67" s="282" t="s">
        <v>123</v>
      </c>
      <c r="H67" s="283" t="s">
        <v>123</v>
      </c>
      <c r="I67" s="160"/>
    </row>
    <row r="68" spans="1:9" ht="15.5" x14ac:dyDescent="0.35">
      <c r="A68" s="452" t="s">
        <v>369</v>
      </c>
      <c r="B68" s="452"/>
      <c r="C68" s="452"/>
      <c r="D68" s="452"/>
      <c r="E68" s="452"/>
      <c r="F68" s="452"/>
      <c r="G68" s="452"/>
      <c r="H68" s="233">
        <f>SUM(H67)</f>
        <v>0</v>
      </c>
      <c r="I68" s="234"/>
    </row>
    <row r="69" spans="1:9" ht="15.5" x14ac:dyDescent="0.35">
      <c r="A69" s="226" t="s">
        <v>370</v>
      </c>
      <c r="B69" s="449" t="s">
        <v>371</v>
      </c>
      <c r="C69" s="450"/>
      <c r="D69" s="450"/>
      <c r="E69" s="227"/>
      <c r="F69" s="226"/>
      <c r="G69" s="226"/>
      <c r="H69" s="228"/>
      <c r="I69" s="226"/>
    </row>
    <row r="70" spans="1:9" ht="15.75" customHeight="1" x14ac:dyDescent="0.35">
      <c r="A70" s="229" t="s">
        <v>372</v>
      </c>
      <c r="B70" s="451" t="s">
        <v>373</v>
      </c>
      <c r="C70" s="451"/>
      <c r="D70" s="451"/>
      <c r="E70" s="230"/>
      <c r="F70" s="229"/>
      <c r="G70" s="231"/>
      <c r="H70" s="232"/>
      <c r="I70" s="231"/>
    </row>
    <row r="71" spans="1:9" ht="79.5" customHeight="1" x14ac:dyDescent="0.35">
      <c r="A71" s="276"/>
      <c r="B71" s="386" t="s">
        <v>374</v>
      </c>
      <c r="C71" s="386"/>
      <c r="D71" s="386"/>
      <c r="E71" s="290"/>
      <c r="F71" s="287"/>
      <c r="G71" s="209"/>
      <c r="H71" s="212"/>
      <c r="I71" s="247"/>
    </row>
    <row r="72" spans="1:9" ht="51" customHeight="1" x14ac:dyDescent="0.35">
      <c r="A72" s="276" t="s">
        <v>70</v>
      </c>
      <c r="B72" s="386" t="s">
        <v>375</v>
      </c>
      <c r="C72" s="386"/>
      <c r="D72" s="386"/>
      <c r="E72" s="290" t="s">
        <v>123</v>
      </c>
      <c r="F72" s="287" t="s">
        <v>123</v>
      </c>
      <c r="G72" s="282" t="s">
        <v>123</v>
      </c>
      <c r="H72" s="283" t="s">
        <v>123</v>
      </c>
      <c r="I72" s="247"/>
    </row>
    <row r="73" spans="1:9" ht="48.75" customHeight="1" x14ac:dyDescent="0.35">
      <c r="A73" s="276" t="s">
        <v>71</v>
      </c>
      <c r="B73" s="386" t="s">
        <v>376</v>
      </c>
      <c r="C73" s="386"/>
      <c r="D73" s="386"/>
      <c r="E73" s="216"/>
      <c r="F73" s="287" t="s">
        <v>67</v>
      </c>
      <c r="G73" s="282" t="s">
        <v>112</v>
      </c>
      <c r="H73" s="283">
        <f>IF(E73="Y",2,0)</f>
        <v>0</v>
      </c>
      <c r="I73" s="247"/>
    </row>
    <row r="74" spans="1:9" ht="15.5" x14ac:dyDescent="0.35">
      <c r="A74" s="452" t="s">
        <v>377</v>
      </c>
      <c r="B74" s="452"/>
      <c r="C74" s="452"/>
      <c r="D74" s="452"/>
      <c r="E74" s="452"/>
      <c r="F74" s="452"/>
      <c r="G74" s="452"/>
      <c r="H74" s="233">
        <f>SUM(H72:H73)</f>
        <v>0</v>
      </c>
      <c r="I74" s="234"/>
    </row>
    <row r="75" spans="1:9" ht="15.75" customHeight="1" x14ac:dyDescent="0.35">
      <c r="A75" s="229" t="s">
        <v>378</v>
      </c>
      <c r="B75" s="451" t="s">
        <v>379</v>
      </c>
      <c r="C75" s="451"/>
      <c r="D75" s="451"/>
      <c r="E75" s="230"/>
      <c r="F75" s="229"/>
      <c r="G75" s="231"/>
      <c r="H75" s="232"/>
      <c r="I75" s="231"/>
    </row>
    <row r="76" spans="1:9" ht="80.5" customHeight="1" x14ac:dyDescent="0.35">
      <c r="A76" s="276"/>
      <c r="B76" s="386" t="s">
        <v>380</v>
      </c>
      <c r="C76" s="386"/>
      <c r="D76" s="386"/>
      <c r="E76" s="216"/>
      <c r="F76" s="287" t="s">
        <v>67</v>
      </c>
      <c r="G76" s="282" t="s">
        <v>95</v>
      </c>
      <c r="H76" s="283">
        <f>IF(E76="Y",1,0)</f>
        <v>0</v>
      </c>
      <c r="I76" s="247"/>
    </row>
    <row r="77" spans="1:9" ht="15.5" x14ac:dyDescent="0.35">
      <c r="A77" s="452" t="s">
        <v>381</v>
      </c>
      <c r="B77" s="452"/>
      <c r="C77" s="452"/>
      <c r="D77" s="452"/>
      <c r="E77" s="452"/>
      <c r="F77" s="452"/>
      <c r="G77" s="452"/>
      <c r="H77" s="233">
        <f>SUM(H75:H76)</f>
        <v>0</v>
      </c>
      <c r="I77" s="234"/>
    </row>
    <row r="78" spans="1:9" ht="15.5" x14ac:dyDescent="0.35">
      <c r="A78" s="226" t="s">
        <v>382</v>
      </c>
      <c r="B78" s="449" t="s">
        <v>383</v>
      </c>
      <c r="C78" s="450"/>
      <c r="D78" s="450"/>
      <c r="E78" s="227"/>
      <c r="F78" s="226"/>
      <c r="G78" s="226"/>
      <c r="H78" s="228"/>
      <c r="I78" s="226"/>
    </row>
    <row r="79" spans="1:9" ht="15.75" customHeight="1" x14ac:dyDescent="0.35">
      <c r="A79" s="229" t="s">
        <v>384</v>
      </c>
      <c r="B79" s="451" t="s">
        <v>385</v>
      </c>
      <c r="C79" s="451"/>
      <c r="D79" s="451"/>
      <c r="E79" s="230"/>
      <c r="F79" s="229"/>
      <c r="G79" s="231"/>
      <c r="H79" s="232"/>
      <c r="I79" s="231"/>
    </row>
    <row r="80" spans="1:9" ht="65.25" customHeight="1" x14ac:dyDescent="0.35">
      <c r="A80" s="286" t="s">
        <v>70</v>
      </c>
      <c r="B80" s="386" t="s">
        <v>386</v>
      </c>
      <c r="C80" s="386"/>
      <c r="D80" s="386"/>
      <c r="E80" s="290" t="s">
        <v>123</v>
      </c>
      <c r="F80" s="287" t="s">
        <v>123</v>
      </c>
      <c r="G80" s="282" t="s">
        <v>123</v>
      </c>
      <c r="H80" s="283" t="s">
        <v>123</v>
      </c>
      <c r="I80" s="160"/>
    </row>
    <row r="81" spans="1:9" ht="15.5" x14ac:dyDescent="0.35">
      <c r="A81" s="452" t="s">
        <v>387</v>
      </c>
      <c r="B81" s="452"/>
      <c r="C81" s="452"/>
      <c r="D81" s="452"/>
      <c r="E81" s="452"/>
      <c r="F81" s="452"/>
      <c r="G81" s="452"/>
      <c r="H81" s="233">
        <f>SUM(H80)</f>
        <v>0</v>
      </c>
      <c r="I81" s="234"/>
    </row>
    <row r="82" spans="1:9" ht="15.75" customHeight="1" x14ac:dyDescent="0.35">
      <c r="A82" s="229" t="s">
        <v>388</v>
      </c>
      <c r="B82" s="451" t="s">
        <v>389</v>
      </c>
      <c r="C82" s="451"/>
      <c r="D82" s="451"/>
      <c r="E82" s="230"/>
      <c r="F82" s="229"/>
      <c r="G82" s="231"/>
      <c r="H82" s="232"/>
      <c r="I82" s="231"/>
    </row>
    <row r="83" spans="1:9" ht="34.5" customHeight="1" x14ac:dyDescent="0.35">
      <c r="A83" s="286"/>
      <c r="B83" s="386" t="s">
        <v>390</v>
      </c>
      <c r="C83" s="386"/>
      <c r="D83" s="386"/>
      <c r="E83" s="290"/>
      <c r="F83" s="189"/>
      <c r="G83" s="282"/>
      <c r="H83" s="74"/>
      <c r="I83" s="160"/>
    </row>
    <row r="84" spans="1:9" ht="92.25" customHeight="1" x14ac:dyDescent="0.35">
      <c r="A84" s="6" t="s">
        <v>70</v>
      </c>
      <c r="B84" s="386" t="s">
        <v>391</v>
      </c>
      <c r="C84" s="386"/>
      <c r="D84" s="386"/>
      <c r="E84" s="216"/>
      <c r="F84" s="189" t="s">
        <v>67</v>
      </c>
      <c r="G84" s="282" t="s">
        <v>95</v>
      </c>
      <c r="H84" s="283">
        <f>IF(E84="Y",1,0)</f>
        <v>0</v>
      </c>
      <c r="I84" s="160"/>
    </row>
    <row r="85" spans="1:9" ht="15.5" x14ac:dyDescent="0.35">
      <c r="A85" s="286" t="s">
        <v>71</v>
      </c>
      <c r="B85" s="386" t="s">
        <v>392</v>
      </c>
      <c r="C85" s="386"/>
      <c r="D85" s="386"/>
      <c r="E85" s="6" t="s">
        <v>123</v>
      </c>
      <c r="F85" s="287" t="s">
        <v>123</v>
      </c>
      <c r="G85" s="282" t="s">
        <v>123</v>
      </c>
      <c r="H85" s="283" t="s">
        <v>123</v>
      </c>
      <c r="I85" s="160"/>
    </row>
    <row r="86" spans="1:9" ht="15.5" x14ac:dyDescent="0.35">
      <c r="A86" s="286" t="s">
        <v>73</v>
      </c>
      <c r="B86" s="386" t="s">
        <v>393</v>
      </c>
      <c r="C86" s="386"/>
      <c r="D86" s="386"/>
      <c r="E86" s="6" t="s">
        <v>123</v>
      </c>
      <c r="F86" s="287" t="s">
        <v>123</v>
      </c>
      <c r="G86" s="282" t="s">
        <v>123</v>
      </c>
      <c r="H86" s="283" t="s">
        <v>123</v>
      </c>
      <c r="I86" s="160"/>
    </row>
    <row r="87" spans="1:9" ht="15.5" x14ac:dyDescent="0.35">
      <c r="A87" s="452" t="s">
        <v>394</v>
      </c>
      <c r="B87" s="452"/>
      <c r="C87" s="452"/>
      <c r="D87" s="452"/>
      <c r="E87" s="452"/>
      <c r="F87" s="452"/>
      <c r="G87" s="452"/>
      <c r="H87" s="233">
        <f>SUM(H84:H86)</f>
        <v>0</v>
      </c>
      <c r="I87" s="234"/>
    </row>
    <row r="88" spans="1:9" ht="15.5" x14ac:dyDescent="0.35">
      <c r="A88" s="222"/>
      <c r="B88" s="455" t="s">
        <v>280</v>
      </c>
      <c r="C88" s="455"/>
      <c r="D88" s="455"/>
      <c r="E88" s="455"/>
      <c r="F88" s="455"/>
      <c r="G88" s="222">
        <v>2</v>
      </c>
      <c r="H88" s="241">
        <f>MIN(SUM(H90:H91),2)</f>
        <v>0</v>
      </c>
      <c r="I88" s="242"/>
    </row>
    <row r="89" spans="1:9" ht="62" x14ac:dyDescent="0.35">
      <c r="A89" s="229"/>
      <c r="B89" s="454" t="s">
        <v>395</v>
      </c>
      <c r="C89" s="454"/>
      <c r="D89" s="454"/>
      <c r="E89" s="244"/>
      <c r="F89" s="229"/>
      <c r="G89" s="244" t="s">
        <v>179</v>
      </c>
      <c r="H89" s="244"/>
      <c r="I89" s="289" t="s">
        <v>180</v>
      </c>
    </row>
    <row r="90" spans="1:9" ht="120.75" customHeight="1" x14ac:dyDescent="0.35">
      <c r="A90" s="286"/>
      <c r="B90" s="386" t="s">
        <v>396</v>
      </c>
      <c r="C90" s="386"/>
      <c r="D90" s="386"/>
      <c r="E90" s="216"/>
      <c r="F90" s="87" t="s">
        <v>68</v>
      </c>
      <c r="G90" s="370" t="s">
        <v>397</v>
      </c>
      <c r="H90" s="74">
        <f>E90</f>
        <v>0</v>
      </c>
      <c r="I90" s="169" t="s">
        <v>183</v>
      </c>
    </row>
    <row r="91" spans="1:9" ht="120.75" customHeight="1" x14ac:dyDescent="0.35">
      <c r="A91" s="43"/>
      <c r="B91" s="386"/>
      <c r="C91" s="386"/>
      <c r="D91" s="386"/>
      <c r="E91" s="216"/>
      <c r="F91" s="87" t="s">
        <v>68</v>
      </c>
      <c r="G91" s="370"/>
      <c r="H91" s="74">
        <f>E91</f>
        <v>0</v>
      </c>
      <c r="I91" s="169" t="s">
        <v>184</v>
      </c>
    </row>
  </sheetData>
  <sheetProtection algorithmName="SHA-512" hashValue="/hlqzkZNMX5TkicPxcsYuOfo3XEAZuJD0HmCmFvBAzqY/qeuC5j2GK/5ipL+B9NR5c+uQCsgOUuIi5/IU0AdeQ==" saltValue="xDVl5tay96Rt6YfiDSmx7Q==" spinCount="100000" sheet="1" objects="1" scenarios="1" formatCells="0" selectLockedCells="1"/>
  <mergeCells count="99">
    <mergeCell ref="I15:I19"/>
    <mergeCell ref="B15:C15"/>
    <mergeCell ref="B16:C16"/>
    <mergeCell ref="B19:C19"/>
    <mergeCell ref="B22:D22"/>
    <mergeCell ref="B10:D10"/>
    <mergeCell ref="B11:D11"/>
    <mergeCell ref="B13:D13"/>
    <mergeCell ref="B14:D14"/>
    <mergeCell ref="A12:G12"/>
    <mergeCell ref="G25:G27"/>
    <mergeCell ref="H25:H27"/>
    <mergeCell ref="B20:D20"/>
    <mergeCell ref="D15:D19"/>
    <mergeCell ref="F15:F19"/>
    <mergeCell ref="H15:H19"/>
    <mergeCell ref="A21:G21"/>
    <mergeCell ref="B6:D6"/>
    <mergeCell ref="B7:D7"/>
    <mergeCell ref="B9:D9"/>
    <mergeCell ref="B1:D1"/>
    <mergeCell ref="A2:F2"/>
    <mergeCell ref="B3:F3"/>
    <mergeCell ref="B4:D4"/>
    <mergeCell ref="B5:D5"/>
    <mergeCell ref="A8:G8"/>
    <mergeCell ref="B45:D45"/>
    <mergeCell ref="B46:D46"/>
    <mergeCell ref="B48:D48"/>
    <mergeCell ref="B49:D49"/>
    <mergeCell ref="B35:D35"/>
    <mergeCell ref="B36:D36"/>
    <mergeCell ref="B37:D37"/>
    <mergeCell ref="B43:D43"/>
    <mergeCell ref="B38:D38"/>
    <mergeCell ref="B40:F40"/>
    <mergeCell ref="B41:D41"/>
    <mergeCell ref="B42:D42"/>
    <mergeCell ref="A39:G39"/>
    <mergeCell ref="B88:F88"/>
    <mergeCell ref="B79:D79"/>
    <mergeCell ref="B80:D80"/>
    <mergeCell ref="B82:D82"/>
    <mergeCell ref="B83:D83"/>
    <mergeCell ref="B84:D84"/>
    <mergeCell ref="A77:G77"/>
    <mergeCell ref="B86:D86"/>
    <mergeCell ref="B85:D85"/>
    <mergeCell ref="A81:G81"/>
    <mergeCell ref="A87:G87"/>
    <mergeCell ref="B78:D78"/>
    <mergeCell ref="A29:G29"/>
    <mergeCell ref="A34:G34"/>
    <mergeCell ref="E15:E19"/>
    <mergeCell ref="G15:G19"/>
    <mergeCell ref="B26:D26"/>
    <mergeCell ref="B23:D23"/>
    <mergeCell ref="B24:D24"/>
    <mergeCell ref="B28:D28"/>
    <mergeCell ref="B30:D30"/>
    <mergeCell ref="B25:D25"/>
    <mergeCell ref="B32:D32"/>
    <mergeCell ref="B33:D33"/>
    <mergeCell ref="B27:D27"/>
    <mergeCell ref="B31:D31"/>
    <mergeCell ref="A14:A20"/>
    <mergeCell ref="A24:A27"/>
    <mergeCell ref="B50:D50"/>
    <mergeCell ref="B51:D51"/>
    <mergeCell ref="B44:D44"/>
    <mergeCell ref="B89:D89"/>
    <mergeCell ref="B90:D91"/>
    <mergeCell ref="B54:D54"/>
    <mergeCell ref="B65:F65"/>
    <mergeCell ref="B61:D61"/>
    <mergeCell ref="B62:D62"/>
    <mergeCell ref="B63:D63"/>
    <mergeCell ref="A47:G47"/>
    <mergeCell ref="A53:G53"/>
    <mergeCell ref="A57:G57"/>
    <mergeCell ref="A64:G64"/>
    <mergeCell ref="G90:G91"/>
    <mergeCell ref="A74:G74"/>
    <mergeCell ref="B55:D55"/>
    <mergeCell ref="B56:D56"/>
    <mergeCell ref="B58:D58"/>
    <mergeCell ref="B60:D60"/>
    <mergeCell ref="B52:D52"/>
    <mergeCell ref="B59:D59"/>
    <mergeCell ref="B72:D72"/>
    <mergeCell ref="B76:D76"/>
    <mergeCell ref="B75:D75"/>
    <mergeCell ref="B71:D71"/>
    <mergeCell ref="B73:D73"/>
    <mergeCell ref="B69:D69"/>
    <mergeCell ref="B70:D70"/>
    <mergeCell ref="A68:G68"/>
    <mergeCell ref="B66:D66"/>
    <mergeCell ref="B67:D67"/>
  </mergeCells>
  <dataValidations count="7">
    <dataValidation allowBlank="1" showErrorMessage="1" sqref="H91" xr:uid="{00000000-0002-0000-0500-000000000000}"/>
    <dataValidation allowBlank="1" showInputMessage="1" showErrorMessage="1" prompt="Please list down short description of your innovation." sqref="I90:I91" xr:uid="{00000000-0002-0000-0500-000001000000}"/>
    <dataValidation type="decimal" allowBlank="1" showErrorMessage="1" error="Please enter 0.5 or 1 or 1.5 or 2." prompt="Please Enter 0 or 1 or 1.5 or 2." sqref="H90" xr:uid="{00000000-0002-0000-0500-000002000000}">
      <formula1>0</formula1>
      <formula2>2</formula2>
    </dataValidation>
    <dataValidation type="list" allowBlank="1" showInputMessage="1" showErrorMessage="1" sqref="E6:E7 E25:E26 E73 E43:E46 E38 E56 E76 E84" xr:uid="{00000000-0002-0000-0500-000003000000}">
      <formula1>"Y,N"</formula1>
    </dataValidation>
    <dataValidation type="decimal" allowBlank="1" showInputMessage="1" showErrorMessage="1" sqref="E27" xr:uid="{00000000-0002-0000-0500-000004000000}">
      <formula1>0</formula1>
      <formula2>100</formula2>
    </dataValidation>
    <dataValidation type="list" allowBlank="1" showInputMessage="1" showErrorMessage="1" sqref="E20 E10" xr:uid="{00000000-0002-0000-0500-000005000000}">
      <formula1>"A,B"</formula1>
    </dataValidation>
    <dataValidation type="list" showErrorMessage="1" error="Please enter 0.5 or 1 or 1.5 or 2." prompt="Please Enter 0.5 or 1 or 1.5 or 2." sqref="E90:E91" xr:uid="{00000000-0002-0000-0500-000006000000}">
      <formula1>"0, 0.5, 1.0, 1.5, 2.0"</formula1>
    </dataValidation>
  </dataValidations>
  <pageMargins left="0.7" right="0.7" top="0.75" bottom="0.75" header="0.3" footer="0.3"/>
  <pageSetup paperSize="9" scale="50" orientation="portrait" r:id="rId1"/>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0"/>
  <sheetViews>
    <sheetView zoomScaleNormal="100" workbookViewId="0">
      <selection activeCell="C12" sqref="C12"/>
    </sheetView>
  </sheetViews>
  <sheetFormatPr defaultColWidth="9.1796875" defaultRowHeight="15.5" x14ac:dyDescent="0.35"/>
  <cols>
    <col min="1" max="1" width="8.26953125" style="295" customWidth="1"/>
    <col min="2" max="2" width="65.7265625" style="273" customWidth="1"/>
    <col min="3" max="4" width="10.7265625" style="273" customWidth="1"/>
    <col min="5" max="5" width="19.1796875" style="273" bestFit="1" customWidth="1"/>
    <col min="6" max="6" width="10.7265625" style="273" customWidth="1"/>
    <col min="7" max="7" width="30.7265625" style="273" customWidth="1"/>
    <col min="8" max="9" width="50.7265625" style="273" customWidth="1"/>
    <col min="10" max="10" width="15.54296875" style="273" customWidth="1"/>
    <col min="11" max="11" width="17.26953125" style="273" customWidth="1"/>
    <col min="12" max="16384" width="9.1796875" style="273"/>
  </cols>
  <sheetData>
    <row r="1" spans="1:7" ht="31" x14ac:dyDescent="0.35">
      <c r="A1" s="2"/>
      <c r="B1" s="3" t="s">
        <v>398</v>
      </c>
      <c r="C1" s="46" t="s">
        <v>63</v>
      </c>
      <c r="D1" s="46" t="s">
        <v>64</v>
      </c>
      <c r="E1" s="53" t="s">
        <v>84</v>
      </c>
      <c r="F1" s="46" t="s">
        <v>85</v>
      </c>
      <c r="G1" s="3" t="s">
        <v>86</v>
      </c>
    </row>
    <row r="2" spans="1:7" ht="21" x14ac:dyDescent="0.35">
      <c r="A2" s="488" t="s">
        <v>30</v>
      </c>
      <c r="B2" s="488"/>
      <c r="C2" s="488"/>
      <c r="D2" s="488"/>
      <c r="E2" s="248">
        <v>15</v>
      </c>
      <c r="F2" s="249">
        <f>MIN(SUM(F3,F20,F31,F47),15)</f>
        <v>0</v>
      </c>
      <c r="G2" s="250" t="s">
        <v>87</v>
      </c>
    </row>
    <row r="3" spans="1:7" x14ac:dyDescent="0.35">
      <c r="A3" s="251" t="s">
        <v>399</v>
      </c>
      <c r="B3" s="489" t="s">
        <v>53</v>
      </c>
      <c r="C3" s="489"/>
      <c r="D3" s="489"/>
      <c r="E3" s="252">
        <v>5</v>
      </c>
      <c r="F3" s="253">
        <f>MIN(SUM(F15,F10,F19), 5)</f>
        <v>0</v>
      </c>
      <c r="G3" s="251"/>
    </row>
    <row r="4" spans="1:7" x14ac:dyDescent="0.35">
      <c r="A4" s="254" t="s">
        <v>400</v>
      </c>
      <c r="B4" s="255" t="s">
        <v>401</v>
      </c>
      <c r="C4" s="255"/>
      <c r="D4" s="256"/>
      <c r="E4" s="257"/>
      <c r="F4" s="258"/>
      <c r="G4" s="257"/>
    </row>
    <row r="5" spans="1:7" ht="31" x14ac:dyDescent="0.35">
      <c r="A5" s="6" t="s">
        <v>70</v>
      </c>
      <c r="B5" s="7" t="s">
        <v>402</v>
      </c>
      <c r="C5" s="10"/>
      <c r="D5" s="48" t="s">
        <v>67</v>
      </c>
      <c r="E5" s="282" t="s">
        <v>112</v>
      </c>
      <c r="F5" s="74">
        <f>IF(C5="Y",2,0)</f>
        <v>0</v>
      </c>
      <c r="G5" s="272"/>
    </row>
    <row r="6" spans="1:7" ht="31" x14ac:dyDescent="0.35">
      <c r="A6" s="407" t="s">
        <v>71</v>
      </c>
      <c r="B6" s="7" t="s">
        <v>403</v>
      </c>
      <c r="C6" s="259"/>
      <c r="D6" s="48"/>
      <c r="E6" s="282"/>
      <c r="F6" s="74"/>
      <c r="G6" s="160"/>
    </row>
    <row r="7" spans="1:7" x14ac:dyDescent="0.35">
      <c r="A7" s="407"/>
      <c r="B7" s="7" t="s">
        <v>404</v>
      </c>
      <c r="C7" s="260" t="s">
        <v>123</v>
      </c>
      <c r="D7" s="48" t="s">
        <v>123</v>
      </c>
      <c r="E7" s="261" t="s">
        <v>123</v>
      </c>
      <c r="F7" s="48" t="s">
        <v>123</v>
      </c>
      <c r="G7" s="160"/>
    </row>
    <row r="8" spans="1:7" ht="31" x14ac:dyDescent="0.35">
      <c r="A8" s="407"/>
      <c r="B8" s="7" t="s">
        <v>405</v>
      </c>
      <c r="C8" s="260" t="s">
        <v>123</v>
      </c>
      <c r="D8" s="48" t="s">
        <v>123</v>
      </c>
      <c r="E8" s="261" t="s">
        <v>123</v>
      </c>
      <c r="F8" s="48" t="s">
        <v>123</v>
      </c>
      <c r="G8" s="160"/>
    </row>
    <row r="9" spans="1:7" ht="62" x14ac:dyDescent="0.35">
      <c r="A9" s="6" t="s">
        <v>73</v>
      </c>
      <c r="B9" s="7" t="s">
        <v>406</v>
      </c>
      <c r="C9" s="10"/>
      <c r="D9" s="48" t="s">
        <v>67</v>
      </c>
      <c r="E9" s="282" t="s">
        <v>95</v>
      </c>
      <c r="F9" s="74">
        <f>IF(C9="Y",1,0)</f>
        <v>0</v>
      </c>
      <c r="G9" s="160"/>
    </row>
    <row r="10" spans="1:7" x14ac:dyDescent="0.35">
      <c r="A10" s="262"/>
      <c r="B10" s="487" t="s">
        <v>407</v>
      </c>
      <c r="C10" s="487"/>
      <c r="D10" s="487"/>
      <c r="E10" s="487"/>
      <c r="F10" s="263">
        <f>SUM(F5:F9)</f>
        <v>0</v>
      </c>
      <c r="G10" s="264"/>
    </row>
    <row r="11" spans="1:7" x14ac:dyDescent="0.35">
      <c r="A11" s="254" t="s">
        <v>408</v>
      </c>
      <c r="B11" s="255" t="s">
        <v>488</v>
      </c>
      <c r="C11" s="255"/>
      <c r="D11" s="256"/>
      <c r="E11" s="257"/>
      <c r="F11" s="258"/>
      <c r="G11" s="257"/>
    </row>
    <row r="12" spans="1:7" ht="46.5" x14ac:dyDescent="0.35">
      <c r="A12" s="278" t="s">
        <v>70</v>
      </c>
      <c r="B12" s="85" t="s">
        <v>409</v>
      </c>
      <c r="C12" s="10"/>
      <c r="D12" s="48" t="s">
        <v>67</v>
      </c>
      <c r="E12" s="265" t="s">
        <v>112</v>
      </c>
      <c r="F12" s="74">
        <f>IF(C12="Y",2,0)</f>
        <v>0</v>
      </c>
      <c r="G12" s="160"/>
    </row>
    <row r="13" spans="1:7" ht="62" x14ac:dyDescent="0.35">
      <c r="A13" s="278" t="s">
        <v>71</v>
      </c>
      <c r="B13" s="84" t="s">
        <v>410</v>
      </c>
      <c r="C13" s="10"/>
      <c r="D13" s="48" t="s">
        <v>67</v>
      </c>
      <c r="E13" s="282" t="s">
        <v>112</v>
      </c>
      <c r="F13" s="74">
        <f>IF(C13="Y",2,0)</f>
        <v>0</v>
      </c>
      <c r="G13" s="160"/>
    </row>
    <row r="14" spans="1:7" ht="61" customHeight="1" x14ac:dyDescent="0.35">
      <c r="A14" s="278" t="s">
        <v>73</v>
      </c>
      <c r="B14" s="84" t="s">
        <v>411</v>
      </c>
      <c r="C14" s="10"/>
      <c r="D14" s="48" t="s">
        <v>67</v>
      </c>
      <c r="E14" s="282" t="s">
        <v>95</v>
      </c>
      <c r="F14" s="74">
        <f>IF(C14="Y",1,0)</f>
        <v>0</v>
      </c>
      <c r="G14" s="160"/>
    </row>
    <row r="15" spans="1:7" x14ac:dyDescent="0.35">
      <c r="A15" s="262"/>
      <c r="B15" s="487" t="s">
        <v>412</v>
      </c>
      <c r="C15" s="487"/>
      <c r="D15" s="487"/>
      <c r="E15" s="487"/>
      <c r="F15" s="263">
        <f>SUM(F12:F14)</f>
        <v>0</v>
      </c>
      <c r="G15" s="264"/>
    </row>
    <row r="16" spans="1:7" x14ac:dyDescent="0.35">
      <c r="A16" s="254" t="s">
        <v>413</v>
      </c>
      <c r="B16" s="255" t="s">
        <v>414</v>
      </c>
      <c r="C16" s="255"/>
      <c r="D16" s="256"/>
      <c r="E16" s="257"/>
      <c r="F16" s="258"/>
      <c r="G16" s="257"/>
    </row>
    <row r="17" spans="1:7" ht="31" x14ac:dyDescent="0.35">
      <c r="A17" s="278" t="s">
        <v>70</v>
      </c>
      <c r="B17" s="85" t="s">
        <v>415</v>
      </c>
      <c r="C17" s="260" t="s">
        <v>123</v>
      </c>
      <c r="D17" s="48" t="s">
        <v>123</v>
      </c>
      <c r="E17" s="261" t="s">
        <v>123</v>
      </c>
      <c r="F17" s="48" t="s">
        <v>123</v>
      </c>
      <c r="G17" s="160"/>
    </row>
    <row r="18" spans="1:7" ht="31" x14ac:dyDescent="0.35">
      <c r="A18" s="278" t="s">
        <v>71</v>
      </c>
      <c r="B18" s="84" t="s">
        <v>416</v>
      </c>
      <c r="C18" s="260" t="s">
        <v>123</v>
      </c>
      <c r="D18" s="48" t="s">
        <v>123</v>
      </c>
      <c r="E18" s="261" t="s">
        <v>123</v>
      </c>
      <c r="F18" s="48" t="s">
        <v>123</v>
      </c>
      <c r="G18" s="160"/>
    </row>
    <row r="19" spans="1:7" x14ac:dyDescent="0.35">
      <c r="A19" s="262"/>
      <c r="B19" s="487" t="s">
        <v>417</v>
      </c>
      <c r="C19" s="487"/>
      <c r="D19" s="487"/>
      <c r="E19" s="487"/>
      <c r="F19" s="263">
        <f>SUM(F16:F18)</f>
        <v>0</v>
      </c>
      <c r="G19" s="264"/>
    </row>
    <row r="20" spans="1:7" x14ac:dyDescent="0.35">
      <c r="A20" s="251" t="s">
        <v>418</v>
      </c>
      <c r="B20" s="489" t="s">
        <v>55</v>
      </c>
      <c r="C20" s="489"/>
      <c r="D20" s="489"/>
      <c r="E20" s="252">
        <v>5</v>
      </c>
      <c r="F20" s="253">
        <f>MIN(SUM(F25,F30),5)</f>
        <v>0</v>
      </c>
      <c r="G20" s="251"/>
    </row>
    <row r="21" spans="1:7" x14ac:dyDescent="0.35">
      <c r="A21" s="254" t="s">
        <v>419</v>
      </c>
      <c r="B21" s="255" t="s">
        <v>420</v>
      </c>
      <c r="C21" s="255"/>
      <c r="D21" s="256"/>
      <c r="E21" s="257"/>
      <c r="F21" s="258"/>
      <c r="G21" s="257"/>
    </row>
    <row r="22" spans="1:7" ht="46.5" x14ac:dyDescent="0.35">
      <c r="A22" s="6" t="s">
        <v>70</v>
      </c>
      <c r="B22" s="9" t="s">
        <v>421</v>
      </c>
      <c r="C22" s="10"/>
      <c r="D22" s="48" t="s">
        <v>67</v>
      </c>
      <c r="E22" s="282" t="s">
        <v>95</v>
      </c>
      <c r="F22" s="74">
        <f t="shared" ref="F22:F24" si="0">IF(C22="Y",1,0)</f>
        <v>0</v>
      </c>
      <c r="G22" s="160"/>
    </row>
    <row r="23" spans="1:7" ht="77.5" x14ac:dyDescent="0.35">
      <c r="A23" s="6" t="s">
        <v>71</v>
      </c>
      <c r="B23" s="9" t="s">
        <v>422</v>
      </c>
      <c r="C23" s="10"/>
      <c r="D23" s="48" t="s">
        <v>67</v>
      </c>
      <c r="E23" s="282" t="s">
        <v>112</v>
      </c>
      <c r="F23" s="74">
        <f>IF(C23="Y",2,0)</f>
        <v>0</v>
      </c>
      <c r="G23" s="160"/>
    </row>
    <row r="24" spans="1:7" ht="31" x14ac:dyDescent="0.35">
      <c r="A24" s="6" t="s">
        <v>73</v>
      </c>
      <c r="B24" s="9" t="s">
        <v>423</v>
      </c>
      <c r="C24" s="10"/>
      <c r="D24" s="48" t="s">
        <v>67</v>
      </c>
      <c r="E24" s="282" t="s">
        <v>95</v>
      </c>
      <c r="F24" s="74">
        <f t="shared" si="0"/>
        <v>0</v>
      </c>
      <c r="G24" s="160"/>
    </row>
    <row r="25" spans="1:7" x14ac:dyDescent="0.35">
      <c r="A25" s="262"/>
      <c r="B25" s="487" t="s">
        <v>424</v>
      </c>
      <c r="C25" s="487"/>
      <c r="D25" s="487"/>
      <c r="E25" s="487"/>
      <c r="F25" s="263">
        <f>SUM(F22:F24)</f>
        <v>0</v>
      </c>
      <c r="G25" s="264"/>
    </row>
    <row r="26" spans="1:7" x14ac:dyDescent="0.35">
      <c r="A26" s="254" t="s">
        <v>425</v>
      </c>
      <c r="B26" s="255" t="s">
        <v>426</v>
      </c>
      <c r="C26" s="255"/>
      <c r="D26" s="256"/>
      <c r="E26" s="257"/>
      <c r="F26" s="258"/>
      <c r="G26" s="257"/>
    </row>
    <row r="27" spans="1:7" ht="77.5" x14ac:dyDescent="0.35">
      <c r="A27" s="6" t="s">
        <v>70</v>
      </c>
      <c r="B27" s="9" t="s">
        <v>427</v>
      </c>
      <c r="C27" s="10"/>
      <c r="D27" s="48" t="s">
        <v>67</v>
      </c>
      <c r="E27" s="266" t="s">
        <v>112</v>
      </c>
      <c r="F27" s="74">
        <f>IF(C27="Y",2,0)</f>
        <v>0</v>
      </c>
      <c r="G27" s="160"/>
    </row>
    <row r="28" spans="1:7" ht="46.5" x14ac:dyDescent="0.35">
      <c r="A28" s="6" t="s">
        <v>71</v>
      </c>
      <c r="B28" s="9" t="s">
        <v>428</v>
      </c>
      <c r="C28" s="10"/>
      <c r="D28" s="48" t="s">
        <v>67</v>
      </c>
      <c r="E28" s="267" t="s">
        <v>255</v>
      </c>
      <c r="F28" s="74">
        <f>IF(C28="Y",3,0)</f>
        <v>0</v>
      </c>
      <c r="G28" s="163"/>
    </row>
    <row r="29" spans="1:7" ht="31" x14ac:dyDescent="0.35">
      <c r="A29" s="6" t="s">
        <v>73</v>
      </c>
      <c r="B29" s="9" t="s">
        <v>429</v>
      </c>
      <c r="C29" s="10"/>
      <c r="D29" s="48" t="s">
        <v>67</v>
      </c>
      <c r="E29" s="267" t="s">
        <v>95</v>
      </c>
      <c r="F29" s="74">
        <f>IF(C29="Y",1,0)</f>
        <v>0</v>
      </c>
      <c r="G29" s="163"/>
    </row>
    <row r="30" spans="1:7" x14ac:dyDescent="0.35">
      <c r="A30" s="262"/>
      <c r="B30" s="487" t="s">
        <v>430</v>
      </c>
      <c r="C30" s="487"/>
      <c r="D30" s="487"/>
      <c r="E30" s="487"/>
      <c r="F30" s="263">
        <f>SUM(F27:F29)</f>
        <v>0</v>
      </c>
      <c r="G30" s="264"/>
    </row>
    <row r="31" spans="1:7" x14ac:dyDescent="0.35">
      <c r="A31" s="251" t="s">
        <v>431</v>
      </c>
      <c r="B31" s="489" t="s">
        <v>57</v>
      </c>
      <c r="C31" s="489"/>
      <c r="D31" s="489"/>
      <c r="E31" s="252">
        <v>5</v>
      </c>
      <c r="F31" s="253">
        <f>MIN(SUM(F36,F41,F46),5)</f>
        <v>0</v>
      </c>
      <c r="G31" s="251"/>
    </row>
    <row r="32" spans="1:7" x14ac:dyDescent="0.35">
      <c r="A32" s="254" t="s">
        <v>432</v>
      </c>
      <c r="B32" s="255" t="s">
        <v>433</v>
      </c>
      <c r="C32" s="255"/>
      <c r="D32" s="256"/>
      <c r="E32" s="257"/>
      <c r="F32" s="258"/>
      <c r="G32" s="257"/>
    </row>
    <row r="33" spans="1:7" ht="46.5" x14ac:dyDescent="0.35">
      <c r="A33" s="6" t="s">
        <v>70</v>
      </c>
      <c r="B33" s="291" t="s">
        <v>434</v>
      </c>
      <c r="C33" s="260" t="s">
        <v>123</v>
      </c>
      <c r="D33" s="48" t="s">
        <v>123</v>
      </c>
      <c r="E33" s="261" t="s">
        <v>123</v>
      </c>
      <c r="F33" s="48" t="s">
        <v>123</v>
      </c>
      <c r="G33" s="160"/>
    </row>
    <row r="34" spans="1:7" ht="31" x14ac:dyDescent="0.35">
      <c r="A34" s="6" t="s">
        <v>71</v>
      </c>
      <c r="B34" s="291" t="s">
        <v>435</v>
      </c>
      <c r="C34" s="260" t="s">
        <v>123</v>
      </c>
      <c r="D34" s="48" t="s">
        <v>123</v>
      </c>
      <c r="E34" s="261" t="s">
        <v>123</v>
      </c>
      <c r="F34" s="48" t="s">
        <v>123</v>
      </c>
      <c r="G34" s="160"/>
    </row>
    <row r="35" spans="1:7" ht="46.5" x14ac:dyDescent="0.35">
      <c r="A35" s="6" t="s">
        <v>73</v>
      </c>
      <c r="B35" s="291" t="s">
        <v>487</v>
      </c>
      <c r="C35" s="260" t="s">
        <v>123</v>
      </c>
      <c r="D35" s="48" t="s">
        <v>123</v>
      </c>
      <c r="E35" s="261" t="s">
        <v>123</v>
      </c>
      <c r="F35" s="48" t="s">
        <v>123</v>
      </c>
      <c r="G35" s="160"/>
    </row>
    <row r="36" spans="1:7" x14ac:dyDescent="0.35">
      <c r="A36" s="262"/>
      <c r="B36" s="487" t="s">
        <v>436</v>
      </c>
      <c r="C36" s="487"/>
      <c r="D36" s="487"/>
      <c r="E36" s="487"/>
      <c r="F36" s="263">
        <f>SUM(F33:F35)</f>
        <v>0</v>
      </c>
      <c r="G36" s="264"/>
    </row>
    <row r="37" spans="1:7" x14ac:dyDescent="0.35">
      <c r="A37" s="254" t="s">
        <v>437</v>
      </c>
      <c r="B37" s="255" t="s">
        <v>438</v>
      </c>
      <c r="C37" s="255"/>
      <c r="D37" s="256"/>
      <c r="E37" s="257"/>
      <c r="F37" s="258"/>
      <c r="G37" s="257"/>
    </row>
    <row r="38" spans="1:7" ht="124" x14ac:dyDescent="0.35">
      <c r="A38" s="8"/>
      <c r="B38" s="9" t="s">
        <v>439</v>
      </c>
      <c r="C38" s="259"/>
      <c r="D38" s="48"/>
      <c r="E38" s="282"/>
      <c r="F38" s="74"/>
      <c r="G38" s="160"/>
    </row>
    <row r="39" spans="1:7" x14ac:dyDescent="0.35">
      <c r="A39" s="6" t="s">
        <v>70</v>
      </c>
      <c r="B39" s="100" t="s">
        <v>440</v>
      </c>
      <c r="C39" s="10"/>
      <c r="D39" s="48" t="s">
        <v>67</v>
      </c>
      <c r="E39" s="282" t="s">
        <v>95</v>
      </c>
      <c r="F39" s="74">
        <f t="shared" ref="F39" si="1">IF(C39="Y",1,0)</f>
        <v>0</v>
      </c>
      <c r="G39" s="160"/>
    </row>
    <row r="40" spans="1:7" x14ac:dyDescent="0.35">
      <c r="A40" s="6" t="s">
        <v>71</v>
      </c>
      <c r="B40" s="100" t="s">
        <v>441</v>
      </c>
      <c r="C40" s="10"/>
      <c r="D40" s="48" t="s">
        <v>67</v>
      </c>
      <c r="E40" s="282" t="s">
        <v>245</v>
      </c>
      <c r="F40" s="74">
        <f>IF(C40="Y",0.5,0)</f>
        <v>0</v>
      </c>
      <c r="G40" s="160"/>
    </row>
    <row r="41" spans="1:7" ht="15.65" customHeight="1" x14ac:dyDescent="0.35">
      <c r="A41" s="262"/>
      <c r="B41" s="487" t="s">
        <v>442</v>
      </c>
      <c r="C41" s="487"/>
      <c r="D41" s="487"/>
      <c r="E41" s="487"/>
      <c r="F41" s="263">
        <f>SUM(F38:F40)</f>
        <v>0</v>
      </c>
      <c r="G41" s="264"/>
    </row>
    <row r="42" spans="1:7" x14ac:dyDescent="0.35">
      <c r="A42" s="254" t="s">
        <v>443</v>
      </c>
      <c r="B42" s="255" t="s">
        <v>444</v>
      </c>
      <c r="C42" s="255"/>
      <c r="D42" s="256"/>
      <c r="E42" s="257"/>
      <c r="F42" s="258"/>
      <c r="G42" s="257"/>
    </row>
    <row r="43" spans="1:7" ht="62" x14ac:dyDescent="0.35">
      <c r="A43" s="490"/>
      <c r="B43" s="153" t="s">
        <v>445</v>
      </c>
      <c r="C43" s="259"/>
      <c r="D43" s="48"/>
      <c r="E43" s="282"/>
      <c r="F43" s="74"/>
      <c r="G43" s="163"/>
    </row>
    <row r="44" spans="1:7" ht="46.5" x14ac:dyDescent="0.35">
      <c r="A44" s="490"/>
      <c r="B44" s="268" t="s">
        <v>446</v>
      </c>
      <c r="C44" s="10"/>
      <c r="D44" s="48" t="s">
        <v>67</v>
      </c>
      <c r="E44" s="282" t="s">
        <v>95</v>
      </c>
      <c r="F44" s="74">
        <f t="shared" ref="F44:F45" si="2">IF(C44="Y",1,0)</f>
        <v>0</v>
      </c>
      <c r="G44" s="160"/>
    </row>
    <row r="45" spans="1:7" ht="46.5" x14ac:dyDescent="0.35">
      <c r="A45" s="490"/>
      <c r="B45" s="142" t="s">
        <v>447</v>
      </c>
      <c r="C45" s="10"/>
      <c r="D45" s="48" t="s">
        <v>67</v>
      </c>
      <c r="E45" s="282" t="s">
        <v>95</v>
      </c>
      <c r="F45" s="74">
        <f t="shared" si="2"/>
        <v>0</v>
      </c>
      <c r="G45" s="160"/>
    </row>
    <row r="46" spans="1:7" ht="15.65" customHeight="1" x14ac:dyDescent="0.35">
      <c r="A46" s="262"/>
      <c r="B46" s="487" t="s">
        <v>448</v>
      </c>
      <c r="C46" s="487"/>
      <c r="D46" s="487"/>
      <c r="E46" s="487"/>
      <c r="F46" s="263">
        <f>SUM(F43:F45)</f>
        <v>0</v>
      </c>
      <c r="G46" s="264"/>
    </row>
    <row r="47" spans="1:7" x14ac:dyDescent="0.35">
      <c r="A47" s="251"/>
      <c r="B47" s="489" t="s">
        <v>449</v>
      </c>
      <c r="C47" s="489"/>
      <c r="D47" s="489"/>
      <c r="E47" s="252">
        <v>3</v>
      </c>
      <c r="F47" s="253">
        <f>MIN(SUM(F49:F50),3)</f>
        <v>0</v>
      </c>
      <c r="G47" s="251"/>
    </row>
    <row r="48" spans="1:7" ht="62" x14ac:dyDescent="0.35">
      <c r="A48" s="254"/>
      <c r="B48" s="255" t="s">
        <v>450</v>
      </c>
      <c r="C48" s="255"/>
      <c r="D48" s="256"/>
      <c r="E48" s="269"/>
      <c r="F48" s="270"/>
      <c r="G48" s="271" t="s">
        <v>180</v>
      </c>
    </row>
    <row r="49" spans="1:7" ht="155.25" customHeight="1" x14ac:dyDescent="0.35">
      <c r="A49" s="407"/>
      <c r="B49" s="336" t="s">
        <v>451</v>
      </c>
      <c r="C49" s="10"/>
      <c r="D49" s="48" t="s">
        <v>68</v>
      </c>
      <c r="E49" s="282" t="s">
        <v>112</v>
      </c>
      <c r="F49" s="74">
        <f>C49</f>
        <v>0</v>
      </c>
      <c r="G49" s="160" t="s">
        <v>183</v>
      </c>
    </row>
    <row r="50" spans="1:7" ht="167.25" customHeight="1" x14ac:dyDescent="0.35">
      <c r="A50" s="407"/>
      <c r="B50" s="336"/>
      <c r="C50" s="10"/>
      <c r="D50" s="48" t="s">
        <v>68</v>
      </c>
      <c r="E50" s="282" t="s">
        <v>112</v>
      </c>
      <c r="F50" s="74">
        <f>C50</f>
        <v>0</v>
      </c>
      <c r="G50" s="247" t="s">
        <v>452</v>
      </c>
    </row>
  </sheetData>
  <sheetProtection algorithmName="SHA-512" hashValue="rZ1C0sErA1lcAE1T+xyvj6+Mp17IkFlJdZ6q1foSSnDZl1SGGCPK/c57bEl6bpml9OMaqRmunjcrnW7Mr1t/1w==" saltValue="BdsdMwgg5zSBWUQCTJUdhw==" spinCount="100000" sheet="1" objects="1" scenarios="1" formatCells="0" selectLockedCells="1"/>
  <mergeCells count="17">
    <mergeCell ref="B20:D20"/>
    <mergeCell ref="B31:D31"/>
    <mergeCell ref="B41:E41"/>
    <mergeCell ref="A43:A45"/>
    <mergeCell ref="B46:E46"/>
    <mergeCell ref="B49:B50"/>
    <mergeCell ref="A49:A50"/>
    <mergeCell ref="B25:E25"/>
    <mergeCell ref="B30:E30"/>
    <mergeCell ref="B36:E36"/>
    <mergeCell ref="B47:D47"/>
    <mergeCell ref="B19:E19"/>
    <mergeCell ref="A2:D2"/>
    <mergeCell ref="B3:D3"/>
    <mergeCell ref="B10:E10"/>
    <mergeCell ref="B15:E15"/>
    <mergeCell ref="A6:A8"/>
  </mergeCells>
  <dataValidations count="4">
    <dataValidation type="list" allowBlank="1" showInputMessage="1" showErrorMessage="1" sqref="C27:C29 C12:C14 C9 C44:C45 C5 C22:C24" xr:uid="{00000000-0002-0000-0600-000000000000}">
      <formula1>"Y,N"</formula1>
    </dataValidation>
    <dataValidation type="decimal" allowBlank="1" showErrorMessage="1" error="Please enter 0.5 or 1 or 1.5 or 2." prompt="Please Enter 0 or 1 or 1.5 or 2." sqref="F49:F50" xr:uid="{00000000-0002-0000-0600-000001000000}">
      <formula1>0</formula1>
      <formula2>2</formula2>
    </dataValidation>
    <dataValidation allowBlank="1" showInputMessage="1" showErrorMessage="1" prompt="Please list down short description of your innovation." sqref="G49:G50" xr:uid="{00000000-0002-0000-0600-000002000000}"/>
    <dataValidation type="list" showErrorMessage="1" error="Please enter 0.5 or 1 or 1.5 or 2." prompt="Please Enter 0.5 or 1 or 1.5 or 2." sqref="C49:C50" xr:uid="{00000000-0002-0000-0600-000003000000}">
      <formula1>"0, 0.5, 1.0, 1.5, 2.0"</formula1>
    </dataValidation>
  </dataValidations>
  <pageMargins left="0.7" right="0.7" top="0.75" bottom="0.75" header="0.3" footer="0.3"/>
  <pageSetup paperSize="9" scale="5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4"/>
  <sheetViews>
    <sheetView zoomScaleNormal="100" zoomScaleSheetLayoutView="70" workbookViewId="0">
      <selection activeCell="H2" sqref="H2"/>
    </sheetView>
  </sheetViews>
  <sheetFormatPr defaultRowHeight="15.5" x14ac:dyDescent="0.35"/>
  <cols>
    <col min="1" max="1" width="8.26953125" style="1" customWidth="1"/>
    <col min="2" max="2" width="65.7265625" customWidth="1"/>
    <col min="3" max="4" width="10.453125" customWidth="1"/>
    <col min="5" max="6" width="10.453125" style="19" customWidth="1"/>
    <col min="7" max="7" width="18.26953125" customWidth="1"/>
    <col min="8" max="8" width="45.1796875" style="11" customWidth="1"/>
    <col min="9" max="9" width="50.7265625" style="11" customWidth="1"/>
    <col min="10" max="10" width="17.26953125" hidden="1" customWidth="1"/>
    <col min="11" max="14" width="9.1796875" hidden="1" customWidth="1"/>
  </cols>
  <sheetData>
    <row r="1" spans="1:14" ht="16" thickBot="1" x14ac:dyDescent="0.4"/>
    <row r="2" spans="1:14" ht="21" x14ac:dyDescent="0.35">
      <c r="A2" s="522" t="s">
        <v>453</v>
      </c>
      <c r="B2" s="523"/>
      <c r="C2" s="523"/>
      <c r="D2" s="523"/>
      <c r="E2" s="523"/>
      <c r="F2" s="523"/>
      <c r="G2" s="524"/>
      <c r="H2" s="304"/>
      <c r="I2" s="304"/>
    </row>
    <row r="3" spans="1:14" ht="85.5" customHeight="1" x14ac:dyDescent="0.35">
      <c r="A3" s="514"/>
      <c r="B3" s="515"/>
      <c r="C3" s="515"/>
      <c r="D3" s="515"/>
      <c r="E3" s="515"/>
      <c r="F3" s="515"/>
      <c r="G3" s="516"/>
      <c r="H3" s="304"/>
      <c r="I3" s="304"/>
    </row>
    <row r="4" spans="1:14" ht="189.75" customHeight="1" thickBot="1" x14ac:dyDescent="0.4">
      <c r="A4" s="517" t="s">
        <v>483</v>
      </c>
      <c r="B4" s="518"/>
      <c r="C4" s="518"/>
      <c r="D4" s="518"/>
      <c r="E4" s="518"/>
      <c r="F4" s="518"/>
      <c r="G4" s="519"/>
      <c r="H4" s="304"/>
      <c r="I4" s="304"/>
    </row>
    <row r="5" spans="1:14" x14ac:dyDescent="0.35">
      <c r="H5" s="304"/>
      <c r="I5" s="304"/>
    </row>
    <row r="6" spans="1:14" ht="31" customHeight="1" x14ac:dyDescent="0.35">
      <c r="A6" s="2"/>
      <c r="B6" s="3" t="s">
        <v>454</v>
      </c>
      <c r="C6" s="502" t="s">
        <v>479</v>
      </c>
      <c r="D6" s="502"/>
      <c r="E6" s="502" t="s">
        <v>478</v>
      </c>
      <c r="F6" s="502"/>
      <c r="G6" s="46" t="s">
        <v>477</v>
      </c>
      <c r="H6" s="304"/>
      <c r="I6" s="304"/>
      <c r="K6" s="502" t="s">
        <v>478</v>
      </c>
      <c r="L6" s="502"/>
      <c r="M6" s="502" t="s">
        <v>478</v>
      </c>
      <c r="N6" s="502"/>
    </row>
    <row r="7" spans="1:14" ht="18.5" x14ac:dyDescent="0.35">
      <c r="A7" s="510" t="s">
        <v>31</v>
      </c>
      <c r="B7" s="511"/>
      <c r="C7" s="520">
        <f>'[3]Maintainability Score Summary'!$K$23</f>
        <v>71</v>
      </c>
      <c r="D7" s="330"/>
      <c r="E7" s="330"/>
      <c r="F7" s="330"/>
      <c r="G7" s="314"/>
      <c r="H7" s="304"/>
      <c r="I7" s="304"/>
      <c r="K7" s="330"/>
      <c r="L7" s="330"/>
      <c r="M7" s="330"/>
      <c r="N7" s="330"/>
    </row>
    <row r="8" spans="1:14" x14ac:dyDescent="0.35">
      <c r="A8" s="512" t="s">
        <v>455</v>
      </c>
      <c r="B8" s="512"/>
      <c r="C8" s="499">
        <f>'[3]Maintainability Score Summary'!$E$6</f>
        <v>3</v>
      </c>
      <c r="D8" s="500"/>
      <c r="E8" s="499">
        <f>MAX(K8:N8)</f>
        <v>0</v>
      </c>
      <c r="F8" s="500"/>
      <c r="G8" s="303" t="str">
        <f>IF(G9="","",G9)</f>
        <v/>
      </c>
      <c r="H8" s="304"/>
      <c r="I8" s="304"/>
      <c r="K8" s="499">
        <f>'[3]Maintainability Score Summary'!$F$6</f>
        <v>0</v>
      </c>
      <c r="L8" s="500"/>
      <c r="M8" s="499">
        <f>'[4]Maintainability Score Summary'!$F$6</f>
        <v>0</v>
      </c>
      <c r="N8" s="500"/>
    </row>
    <row r="9" spans="1:14" x14ac:dyDescent="0.35">
      <c r="A9" s="261">
        <v>0.1</v>
      </c>
      <c r="B9" s="20" t="str">
        <f>'[3]Maintainability Score Summary'!$B$7</f>
        <v>General Project Requirement</v>
      </c>
      <c r="C9" s="521">
        <f>'[3]Maintainability Score Summary'!$E$7</f>
        <v>3</v>
      </c>
      <c r="D9" s="521"/>
      <c r="E9" s="521">
        <f t="shared" ref="E9:E13" si="0">MAX(K9:N9)</f>
        <v>0</v>
      </c>
      <c r="F9" s="521"/>
      <c r="G9" s="312"/>
      <c r="H9" s="304"/>
      <c r="I9" s="304"/>
      <c r="K9" s="491">
        <f>'[3]Maintainability Score Summary'!$F$7</f>
        <v>0</v>
      </c>
      <c r="L9" s="370"/>
      <c r="M9" s="491">
        <f>'[4]Maintainability Score Summary'!$F$7</f>
        <v>0</v>
      </c>
      <c r="N9" s="370"/>
    </row>
    <row r="10" spans="1:14" x14ac:dyDescent="0.35">
      <c r="A10" s="512" t="s">
        <v>456</v>
      </c>
      <c r="B10" s="512"/>
      <c r="C10" s="500">
        <f>'[3]Maintainability Score Summary'!$E$8</f>
        <v>11.5</v>
      </c>
      <c r="D10" s="500"/>
      <c r="E10" s="500">
        <f t="shared" si="0"/>
        <v>0</v>
      </c>
      <c r="F10" s="500"/>
      <c r="G10" s="303" t="str">
        <f>IF(OR(G11="",G13="",G17=""),"",SUM(G17,G13,G11))</f>
        <v/>
      </c>
      <c r="H10" s="304"/>
      <c r="I10" s="304"/>
      <c r="K10" s="499">
        <f>'[3]Maintainability Score Summary'!$F$8</f>
        <v>0</v>
      </c>
      <c r="L10" s="500"/>
      <c r="M10" s="499">
        <f>'[4]Maintainability Score Summary'!$F$8</f>
        <v>0</v>
      </c>
      <c r="N10" s="500"/>
    </row>
    <row r="11" spans="1:14" x14ac:dyDescent="0.35">
      <c r="A11" s="525" t="str">
        <f>'[3]Maintainability Score Summary'!$A$9</f>
        <v>Part A - General Façade</v>
      </c>
      <c r="B11" s="526"/>
      <c r="C11" s="504">
        <f>'[3]Maintainability Score Summary'!$E$9</f>
        <v>0.5</v>
      </c>
      <c r="D11" s="504"/>
      <c r="E11" s="504">
        <f t="shared" si="0"/>
        <v>0</v>
      </c>
      <c r="F11" s="504"/>
      <c r="G11" s="313" t="str">
        <f>IF(G12="","",G12)</f>
        <v/>
      </c>
      <c r="H11" s="304"/>
      <c r="I11" s="304"/>
      <c r="K11" s="503">
        <f>'[3]Maintainability Score Summary'!$F$9</f>
        <v>0</v>
      </c>
      <c r="L11" s="504"/>
      <c r="M11" s="503">
        <f>'[4]Maintainability Score Summary'!$F$9</f>
        <v>0</v>
      </c>
      <c r="N11" s="504"/>
    </row>
    <row r="12" spans="1:14" x14ac:dyDescent="0.35">
      <c r="A12" s="6">
        <v>1.1000000000000001</v>
      </c>
      <c r="B12" s="7" t="str">
        <f>'[3]Maintainability Score Summary'!$B$10</f>
        <v>General Façade</v>
      </c>
      <c r="C12" s="370">
        <f>'[3]Maintainability Score Summary'!$E$10</f>
        <v>0.5</v>
      </c>
      <c r="D12" s="370"/>
      <c r="E12" s="370">
        <f t="shared" si="0"/>
        <v>0</v>
      </c>
      <c r="F12" s="370"/>
      <c r="G12" s="312"/>
      <c r="H12" s="304"/>
      <c r="I12" s="304"/>
      <c r="K12" s="491">
        <f>'[3]Maintainability Score Summary'!$F$10</f>
        <v>0</v>
      </c>
      <c r="L12" s="370"/>
      <c r="M12" s="491">
        <f>'[4]Maintainability Score Summary'!$F$10</f>
        <v>0</v>
      </c>
      <c r="N12" s="370"/>
    </row>
    <row r="13" spans="1:14" x14ac:dyDescent="0.35">
      <c r="A13" s="525" t="str">
        <f>'[3]Maintainability Score Summary'!$A$11</f>
        <v>Part B - Façade System</v>
      </c>
      <c r="B13" s="526"/>
      <c r="C13" s="504">
        <f>'[3]Maintainability Score Summary'!$E$11</f>
        <v>4</v>
      </c>
      <c r="D13" s="504"/>
      <c r="E13" s="504">
        <f t="shared" si="0"/>
        <v>0</v>
      </c>
      <c r="F13" s="504"/>
      <c r="G13" s="313" t="str">
        <f>IF(G14="","",G14)</f>
        <v/>
      </c>
      <c r="H13" s="304"/>
      <c r="I13" s="304"/>
      <c r="K13" s="503">
        <f>'[3]Maintainability Score Summary'!$F$11</f>
        <v>0</v>
      </c>
      <c r="L13" s="504"/>
      <c r="M13" s="503">
        <f>'[4]Maintainability Score Summary'!$F$11</f>
        <v>0</v>
      </c>
      <c r="N13" s="504"/>
    </row>
    <row r="14" spans="1:14" x14ac:dyDescent="0.35">
      <c r="A14" s="6">
        <v>1.2</v>
      </c>
      <c r="B14" s="7" t="str">
        <f>'[3]Maintainability Score Summary'!$B$12</f>
        <v>Cladding system: Tile/ Stone/ Metal/ Others</v>
      </c>
      <c r="C14" s="370">
        <f>'[3]Maintainability Score Summary'!$E$12</f>
        <v>4</v>
      </c>
      <c r="D14" s="370"/>
      <c r="E14" s="370">
        <f>MAX(K14:N16)</f>
        <v>0</v>
      </c>
      <c r="F14" s="370"/>
      <c r="G14" s="528"/>
      <c r="H14" s="304"/>
      <c r="I14" s="304"/>
      <c r="K14" s="505">
        <f>'[3]Maintainability Score Summary'!$F$12</f>
        <v>0</v>
      </c>
      <c r="L14" s="505"/>
      <c r="M14" s="505">
        <f>'[4]Maintainability Score Summary'!$F$12</f>
        <v>0</v>
      </c>
      <c r="N14" s="505"/>
    </row>
    <row r="15" spans="1:14" x14ac:dyDescent="0.35">
      <c r="A15" s="6">
        <v>1.3</v>
      </c>
      <c r="B15" s="7" t="str">
        <f>'[3]Maintainability Score Summary'!$B$13</f>
        <v>Curtain Wall: Glazing/ Others</v>
      </c>
      <c r="C15" s="370"/>
      <c r="D15" s="370"/>
      <c r="E15" s="370"/>
      <c r="F15" s="370"/>
      <c r="G15" s="528"/>
      <c r="H15" s="304"/>
      <c r="I15" s="304"/>
      <c r="K15" s="505"/>
      <c r="L15" s="505"/>
      <c r="M15" s="505"/>
      <c r="N15" s="505"/>
    </row>
    <row r="16" spans="1:14" x14ac:dyDescent="0.35">
      <c r="A16" s="6">
        <v>1.4</v>
      </c>
      <c r="B16" s="7" t="str">
        <f>'[3]Maintainability Score Summary'!$B$14</f>
        <v>Masonry and Lightweight Concrete Panels</v>
      </c>
      <c r="C16" s="370"/>
      <c r="D16" s="370"/>
      <c r="E16" s="370"/>
      <c r="F16" s="370"/>
      <c r="G16" s="528"/>
      <c r="H16" s="304"/>
      <c r="I16" s="304"/>
      <c r="K16" s="505"/>
      <c r="L16" s="505"/>
      <c r="M16" s="505"/>
      <c r="N16" s="505"/>
    </row>
    <row r="17" spans="1:14" x14ac:dyDescent="0.35">
      <c r="A17" s="525" t="str">
        <f>'[3]Maintainability Score Summary'!$A$15</f>
        <v>Part C - Others</v>
      </c>
      <c r="B17" s="526"/>
      <c r="C17" s="504">
        <f>'[3]Maintainability Score Summary'!$E$15</f>
        <v>7</v>
      </c>
      <c r="D17" s="504"/>
      <c r="E17" s="504">
        <f t="shared" ref="E17" si="1">MAX(K17:N17)</f>
        <v>0</v>
      </c>
      <c r="F17" s="504"/>
      <c r="G17" s="313" t="str">
        <f>IF(OR(G18="",G19="",G20=""),"",SUM(G18:G20))</f>
        <v/>
      </c>
      <c r="H17" s="304"/>
      <c r="I17" s="304"/>
      <c r="K17" s="503">
        <f>'[3]Maintainability Score Summary'!$F$15</f>
        <v>0</v>
      </c>
      <c r="L17" s="504"/>
      <c r="M17" s="503">
        <f>'[4]Maintainability Score Summary'!$F$15</f>
        <v>0</v>
      </c>
      <c r="N17" s="504"/>
    </row>
    <row r="18" spans="1:14" x14ac:dyDescent="0.35">
      <c r="A18" s="6" t="s">
        <v>457</v>
      </c>
      <c r="B18" s="7" t="str">
        <f>'[3]Maintainability Score Summary'!$B$16</f>
        <v>Façade Features/ considerations</v>
      </c>
      <c r="C18" s="370">
        <f>'[3]Maintainability Score Summary'!$E$16</f>
        <v>3</v>
      </c>
      <c r="D18" s="370"/>
      <c r="E18" s="370">
        <f t="shared" ref="E18:E56" si="2">MAX(K18:N18)</f>
        <v>0</v>
      </c>
      <c r="F18" s="370"/>
      <c r="G18" s="312"/>
      <c r="H18" s="304"/>
      <c r="I18" s="304"/>
      <c r="K18" s="491">
        <f>'[3]Maintainability Score Summary'!$F$16</f>
        <v>0</v>
      </c>
      <c r="L18" s="370"/>
      <c r="M18" s="491">
        <f>'[4]Maintainability Score Summary'!$F$16</f>
        <v>0</v>
      </c>
      <c r="N18" s="370"/>
    </row>
    <row r="19" spans="1:14" x14ac:dyDescent="0.35">
      <c r="A19" s="6" t="s">
        <v>458</v>
      </c>
      <c r="B19" s="7" t="str">
        <f>'[3]Maintainability Score Summary'!$B$17</f>
        <v>Entrance lobby/ Integrated drop-off points at blocks</v>
      </c>
      <c r="C19" s="370">
        <f>'[3]Maintainability Score Summary'!$E$17</f>
        <v>2</v>
      </c>
      <c r="D19" s="370"/>
      <c r="E19" s="370">
        <f t="shared" si="2"/>
        <v>0</v>
      </c>
      <c r="F19" s="370"/>
      <c r="G19" s="312"/>
      <c r="H19" s="304"/>
      <c r="I19" s="304"/>
      <c r="K19" s="491">
        <f>'[3]Maintainability Score Summary'!$F$17</f>
        <v>0</v>
      </c>
      <c r="L19" s="370"/>
      <c r="M19" s="491">
        <f>'[4]Maintainability Score Summary'!$F$17</f>
        <v>0</v>
      </c>
      <c r="N19" s="370"/>
    </row>
    <row r="20" spans="1:14" x14ac:dyDescent="0.35">
      <c r="A20" s="6">
        <v>1.7</v>
      </c>
      <c r="B20" s="7" t="str">
        <f>'[3]Maintainability Score Summary'!$B$18</f>
        <v>Exposed corridors and link bridges</v>
      </c>
      <c r="C20" s="370">
        <f>'[3]Maintainability Score Summary'!$E$18</f>
        <v>2</v>
      </c>
      <c r="D20" s="370"/>
      <c r="E20" s="370">
        <f t="shared" si="2"/>
        <v>0</v>
      </c>
      <c r="F20" s="370"/>
      <c r="G20" s="312"/>
      <c r="H20" s="304"/>
      <c r="I20" s="304"/>
      <c r="K20" s="491">
        <f>'[3]Maintainability Score Summary'!$F$18</f>
        <v>0</v>
      </c>
      <c r="L20" s="370"/>
      <c r="M20" s="491">
        <f>'[4]Maintainability Score Summary'!$F$18</f>
        <v>0</v>
      </c>
      <c r="N20" s="370"/>
    </row>
    <row r="21" spans="1:14" x14ac:dyDescent="0.35">
      <c r="A21" s="6">
        <v>1.8</v>
      </c>
      <c r="B21" s="7" t="str">
        <f>'[3]Maintainability Score Summary'!$B$19</f>
        <v>Roof</v>
      </c>
      <c r="C21" s="370" t="str">
        <f>'[3]Maintainability Score Summary'!$E$19</f>
        <v>Pre-req</v>
      </c>
      <c r="D21" s="370"/>
      <c r="E21" s="370">
        <f t="shared" si="2"/>
        <v>0</v>
      </c>
      <c r="F21" s="370"/>
      <c r="G21" s="50"/>
      <c r="H21" s="304"/>
      <c r="I21" s="304"/>
      <c r="K21" s="370"/>
      <c r="L21" s="370"/>
      <c r="M21" s="370"/>
      <c r="N21" s="370"/>
    </row>
    <row r="22" spans="1:14" x14ac:dyDescent="0.35">
      <c r="A22" s="512" t="s">
        <v>459</v>
      </c>
      <c r="B22" s="512" t="s">
        <v>55</v>
      </c>
      <c r="C22" s="500">
        <f>'[3]Maintainability Score Summary'!$E$20</f>
        <v>18.5</v>
      </c>
      <c r="D22" s="500"/>
      <c r="E22" s="500">
        <f t="shared" si="2"/>
        <v>0</v>
      </c>
      <c r="F22" s="500"/>
      <c r="G22" s="303" t="str">
        <f>IF(OR(G23="",G24="",G25="",G26="",G27=""),"",SUM(G23:G27))</f>
        <v/>
      </c>
      <c r="H22" s="304"/>
      <c r="I22" s="304"/>
      <c r="K22" s="499">
        <f>'[3]Maintainability Score Summary'!$F$20</f>
        <v>0</v>
      </c>
      <c r="L22" s="500"/>
      <c r="M22" s="499">
        <f>'[4]Maintainability Score Summary'!$F$20</f>
        <v>0</v>
      </c>
      <c r="N22" s="500"/>
    </row>
    <row r="23" spans="1:14" x14ac:dyDescent="0.35">
      <c r="A23" s="6">
        <v>2.1</v>
      </c>
      <c r="B23" s="9" t="str">
        <f>'[3]Maintainability Score Summary'!$B$21</f>
        <v>Floors</v>
      </c>
      <c r="C23" s="370">
        <f>'[3]Maintainability Score Summary'!$E$21</f>
        <v>2.5</v>
      </c>
      <c r="D23" s="370"/>
      <c r="E23" s="370">
        <f t="shared" si="2"/>
        <v>0</v>
      </c>
      <c r="F23" s="370"/>
      <c r="G23" s="312"/>
      <c r="H23" s="304"/>
      <c r="I23" s="304"/>
      <c r="K23" s="491">
        <f>'[3]Maintainability Score Summary'!$F$21</f>
        <v>0</v>
      </c>
      <c r="L23" s="370"/>
      <c r="M23" s="491">
        <f>'[4]Maintainability Score Summary'!$F$21</f>
        <v>0</v>
      </c>
      <c r="N23" s="370"/>
    </row>
    <row r="24" spans="1:14" x14ac:dyDescent="0.35">
      <c r="A24" s="6">
        <v>2.2000000000000002</v>
      </c>
      <c r="B24" s="9" t="str">
        <f>'[3]Maintainability Score Summary'!$B$22</f>
        <v>Walls and Partitions</v>
      </c>
      <c r="C24" s="370">
        <f>'[3]Maintainability Score Summary'!$E$22</f>
        <v>1</v>
      </c>
      <c r="D24" s="370"/>
      <c r="E24" s="370">
        <f t="shared" si="2"/>
        <v>0</v>
      </c>
      <c r="F24" s="370"/>
      <c r="G24" s="312"/>
      <c r="H24" s="304"/>
      <c r="I24" s="304"/>
      <c r="K24" s="491">
        <f>'[3]Maintainability Score Summary'!$F$22</f>
        <v>0</v>
      </c>
      <c r="L24" s="370"/>
      <c r="M24" s="491">
        <f>'[4]Maintainability Score Summary'!$F$22</f>
        <v>0</v>
      </c>
      <c r="N24" s="370"/>
    </row>
    <row r="25" spans="1:14" x14ac:dyDescent="0.35">
      <c r="A25" s="6">
        <v>2.2999999999999998</v>
      </c>
      <c r="B25" s="9" t="str">
        <f>'[3]Maintainability Score Summary'!$B$23</f>
        <v>Ceiling</v>
      </c>
      <c r="C25" s="370">
        <f>'[3]Maintainability Score Summary'!$E$23</f>
        <v>4</v>
      </c>
      <c r="D25" s="370"/>
      <c r="E25" s="370">
        <f t="shared" si="2"/>
        <v>0</v>
      </c>
      <c r="F25" s="370"/>
      <c r="G25" s="312"/>
      <c r="H25" s="304"/>
      <c r="I25" s="304"/>
      <c r="K25" s="491">
        <f>'[3]Maintainability Score Summary'!$F$23</f>
        <v>0</v>
      </c>
      <c r="L25" s="370"/>
      <c r="M25" s="491">
        <f>'[4]Maintainability Score Summary'!$F$23</f>
        <v>0</v>
      </c>
      <c r="N25" s="370"/>
    </row>
    <row r="26" spans="1:14" x14ac:dyDescent="0.35">
      <c r="A26" s="6">
        <v>2.4</v>
      </c>
      <c r="B26" s="9" t="str">
        <f>'[3]Maintainability Score Summary'!$B$24</f>
        <v xml:space="preserve">Common toilets </v>
      </c>
      <c r="C26" s="370">
        <f>'[3]Maintainability Score Summary'!$E$24</f>
        <v>7</v>
      </c>
      <c r="D26" s="370"/>
      <c r="E26" s="370">
        <f t="shared" si="2"/>
        <v>0</v>
      </c>
      <c r="F26" s="370"/>
      <c r="G26" s="312"/>
      <c r="H26" s="304"/>
      <c r="I26" s="304"/>
      <c r="K26" s="491">
        <f>'[3]Maintainability Score Summary'!$F$24</f>
        <v>0</v>
      </c>
      <c r="L26" s="370"/>
      <c r="M26" s="491">
        <f>'[4]Maintainability Score Summary'!$F$24</f>
        <v>0</v>
      </c>
      <c r="N26" s="370"/>
    </row>
    <row r="27" spans="1:14" x14ac:dyDescent="0.35">
      <c r="A27" s="6">
        <v>2.5</v>
      </c>
      <c r="B27" s="9" t="str">
        <f>'[3]Maintainability Score Summary'!$B$25</f>
        <v>Basements</v>
      </c>
      <c r="C27" s="370">
        <f>'[3]Maintainability Score Summary'!$E$25</f>
        <v>4</v>
      </c>
      <c r="D27" s="370"/>
      <c r="E27" s="370">
        <f t="shared" si="2"/>
        <v>0</v>
      </c>
      <c r="F27" s="370"/>
      <c r="G27" s="312"/>
      <c r="H27" s="304"/>
      <c r="I27" s="304"/>
      <c r="K27" s="491">
        <f>'[3]Maintainability Score Summary'!$F$25</f>
        <v>0</v>
      </c>
      <c r="L27" s="370"/>
      <c r="M27" s="491">
        <f>'[4]Maintainability Score Summary'!$F$25</f>
        <v>0</v>
      </c>
      <c r="N27" s="370"/>
    </row>
    <row r="28" spans="1:14" x14ac:dyDescent="0.35">
      <c r="A28" s="512" t="s">
        <v>460</v>
      </c>
      <c r="B28" s="512"/>
      <c r="C28" s="500">
        <f>'[3]Maintainability Score Summary'!$E$26</f>
        <v>10</v>
      </c>
      <c r="D28" s="500"/>
      <c r="E28" s="500">
        <f t="shared" si="2"/>
        <v>0</v>
      </c>
      <c r="F28" s="500"/>
      <c r="G28" s="303" t="str">
        <f>IF(OR(G29="",G31="",G33="",G34="",G35=""),"",SUM(G29,G31,G33:G35))</f>
        <v/>
      </c>
      <c r="H28" s="304"/>
      <c r="I28" s="304"/>
      <c r="K28" s="499">
        <f>'[3]Maintainability Score Summary'!$F$26</f>
        <v>0</v>
      </c>
      <c r="L28" s="500"/>
      <c r="M28" s="499">
        <f>'[4]Maintainability Score Summary'!$F$26</f>
        <v>0</v>
      </c>
      <c r="N28" s="500"/>
    </row>
    <row r="29" spans="1:14" ht="31" x14ac:dyDescent="0.35">
      <c r="A29" s="6">
        <v>3.1</v>
      </c>
      <c r="B29" s="9" t="str">
        <f>'[3]Maintainability Score Summary'!$B$27</f>
        <v xml:space="preserve">Air Conditioning System-Direct Expansion System 
(DX Units) </v>
      </c>
      <c r="C29" s="370">
        <f>'[3]Maintainability Score Summary'!$E$27</f>
        <v>2</v>
      </c>
      <c r="D29" s="370"/>
      <c r="E29" s="370">
        <f t="shared" si="2"/>
        <v>0</v>
      </c>
      <c r="F29" s="370"/>
      <c r="G29" s="312"/>
      <c r="H29" s="304"/>
      <c r="I29" s="304"/>
      <c r="K29" s="491">
        <f>'[3]Maintainability Score Summary'!$F$27</f>
        <v>0</v>
      </c>
      <c r="L29" s="370"/>
      <c r="M29" s="491">
        <f>'[4]Maintainability Score Summary'!$F$27</f>
        <v>0</v>
      </c>
      <c r="N29" s="370"/>
    </row>
    <row r="30" spans="1:14" x14ac:dyDescent="0.35">
      <c r="A30" s="6">
        <v>3.2</v>
      </c>
      <c r="B30" s="9" t="str">
        <f>'[3]Maintainability Score Summary'!$B$28</f>
        <v>Air Conditioning System - Variable Refrigerant Flow (VRF) System</v>
      </c>
      <c r="C30" s="370" t="str">
        <f>'[3]Maintainability Score Summary'!$E$28</f>
        <v>Pre-req</v>
      </c>
      <c r="D30" s="370"/>
      <c r="E30" s="370">
        <f t="shared" si="2"/>
        <v>0</v>
      </c>
      <c r="F30" s="370"/>
      <c r="G30" s="50"/>
      <c r="H30" s="304"/>
      <c r="I30" s="304"/>
      <c r="K30" s="370"/>
      <c r="L30" s="370"/>
      <c r="M30" s="370"/>
      <c r="N30" s="370"/>
    </row>
    <row r="31" spans="1:14" x14ac:dyDescent="0.35">
      <c r="A31" s="6">
        <v>3.3</v>
      </c>
      <c r="B31" s="9" t="str">
        <f>'[3]Maintainability Score Summary'!$B$29</f>
        <v>Air Distribution System</v>
      </c>
      <c r="C31" s="370">
        <f>'[3]Maintainability Score Summary'!$E$29</f>
        <v>1</v>
      </c>
      <c r="D31" s="370"/>
      <c r="E31" s="370">
        <f t="shared" si="2"/>
        <v>0</v>
      </c>
      <c r="F31" s="370"/>
      <c r="G31" s="312"/>
      <c r="H31" s="304"/>
      <c r="I31" s="304"/>
      <c r="K31" s="491">
        <f>'[3]Maintainability Score Summary'!$F$29</f>
        <v>0</v>
      </c>
      <c r="L31" s="370"/>
      <c r="M31" s="491">
        <f>'[4]Maintainability Score Summary'!$F$29</f>
        <v>0</v>
      </c>
      <c r="N31" s="370"/>
    </row>
    <row r="32" spans="1:14" x14ac:dyDescent="0.35">
      <c r="A32" s="6">
        <v>3.4</v>
      </c>
      <c r="B32" s="9" t="str">
        <f>'[3]Maintainability Score Summary'!$B$30</f>
        <v>Domestic Water Supply</v>
      </c>
      <c r="C32" s="370" t="str">
        <f>'[3]Maintainability Score Summary'!$E$30</f>
        <v>Pre-req</v>
      </c>
      <c r="D32" s="370"/>
      <c r="E32" s="370">
        <f t="shared" si="2"/>
        <v>0</v>
      </c>
      <c r="F32" s="370"/>
      <c r="G32" s="50"/>
      <c r="H32" s="304"/>
      <c r="I32" s="304"/>
      <c r="K32" s="370"/>
      <c r="L32" s="370"/>
      <c r="M32" s="370"/>
      <c r="N32" s="370"/>
    </row>
    <row r="33" spans="1:14" x14ac:dyDescent="0.35">
      <c r="A33" s="6">
        <v>3.5</v>
      </c>
      <c r="B33" s="9" t="str">
        <f>'[3]Maintainability Score Summary'!$B$31</f>
        <v>Sanitary System</v>
      </c>
      <c r="C33" s="370">
        <f>'[3]Maintainability Score Summary'!$E$31</f>
        <v>3</v>
      </c>
      <c r="D33" s="370"/>
      <c r="E33" s="370">
        <f t="shared" si="2"/>
        <v>0</v>
      </c>
      <c r="F33" s="370"/>
      <c r="G33" s="312"/>
      <c r="H33" s="304"/>
      <c r="I33" s="304"/>
      <c r="K33" s="491">
        <f>'[3]Maintainability Score Summary'!$F$31</f>
        <v>0</v>
      </c>
      <c r="L33" s="370"/>
      <c r="M33" s="491">
        <f>'[4]Maintainability Score Summary'!$F$31</f>
        <v>0</v>
      </c>
      <c r="N33" s="370"/>
    </row>
    <row r="34" spans="1:14" x14ac:dyDescent="0.35">
      <c r="A34" s="6">
        <v>3.6</v>
      </c>
      <c r="B34" s="9" t="str">
        <f>'[3]Maintainability Score Summary'!$B$32</f>
        <v xml:space="preserve">Fire Protection System </v>
      </c>
      <c r="C34" s="370">
        <f>'[3]Maintainability Score Summary'!$E$32</f>
        <v>1</v>
      </c>
      <c r="D34" s="370"/>
      <c r="E34" s="370">
        <f t="shared" si="2"/>
        <v>0</v>
      </c>
      <c r="F34" s="370"/>
      <c r="G34" s="312"/>
      <c r="H34" s="304"/>
      <c r="I34" s="304"/>
      <c r="K34" s="491">
        <f>'[3]Maintainability Score Summary'!$F$32</f>
        <v>0</v>
      </c>
      <c r="L34" s="370"/>
      <c r="M34" s="491">
        <f>'[4]Maintainability Score Summary'!$F$32</f>
        <v>0</v>
      </c>
      <c r="N34" s="370"/>
    </row>
    <row r="35" spans="1:14" x14ac:dyDescent="0.35">
      <c r="A35" s="6">
        <v>3.7</v>
      </c>
      <c r="B35" s="9" t="str">
        <f>'[3]Maintainability Score Summary'!$B$33</f>
        <v>Swimming Pool System</v>
      </c>
      <c r="C35" s="370">
        <f>'[3]Maintainability Score Summary'!$E$33</f>
        <v>3</v>
      </c>
      <c r="D35" s="370"/>
      <c r="E35" s="370">
        <f t="shared" si="2"/>
        <v>0</v>
      </c>
      <c r="F35" s="370"/>
      <c r="G35" s="312"/>
      <c r="H35" s="304"/>
      <c r="I35" s="304"/>
      <c r="K35" s="491">
        <f>'[3]Maintainability Score Summary'!$F$33</f>
        <v>0</v>
      </c>
      <c r="L35" s="370"/>
      <c r="M35" s="491">
        <f>'[4]Maintainability Score Summary'!$F$33</f>
        <v>0</v>
      </c>
      <c r="N35" s="370"/>
    </row>
    <row r="36" spans="1:14" x14ac:dyDescent="0.35">
      <c r="A36" s="512" t="s">
        <v>461</v>
      </c>
      <c r="B36" s="512" t="s">
        <v>438</v>
      </c>
      <c r="C36" s="500">
        <f>'[3]Maintainability Score Summary'!$E$35</f>
        <v>10.5</v>
      </c>
      <c r="D36" s="500"/>
      <c r="E36" s="500">
        <f t="shared" si="2"/>
        <v>0</v>
      </c>
      <c r="F36" s="500"/>
      <c r="G36" s="303" t="str">
        <f>IF(OR(G37="",G38="",G39="",G40="",G41=""),"",SUM(G37:G41))</f>
        <v/>
      </c>
      <c r="H36" s="304"/>
      <c r="I36" s="304"/>
      <c r="K36" s="499">
        <f>'[3]Maintainability Score Summary'!$F$35</f>
        <v>0</v>
      </c>
      <c r="L36" s="500"/>
      <c r="M36" s="499">
        <f>'[4]Maintainability Score Summary'!$F$35</f>
        <v>0</v>
      </c>
      <c r="N36" s="500"/>
    </row>
    <row r="37" spans="1:14" x14ac:dyDescent="0.35">
      <c r="A37" s="6">
        <v>4.0999999999999996</v>
      </c>
      <c r="B37" s="9" t="str">
        <f>'[3]Maintainability Score Summary'!$B$36</f>
        <v>Lighting System</v>
      </c>
      <c r="C37" s="370">
        <f>'[3]Maintainability Score Summary'!$E$36</f>
        <v>1.5</v>
      </c>
      <c r="D37" s="370"/>
      <c r="E37" s="370">
        <f t="shared" si="2"/>
        <v>0</v>
      </c>
      <c r="F37" s="370"/>
      <c r="G37" s="312"/>
      <c r="H37" s="304"/>
      <c r="I37" s="304"/>
      <c r="K37" s="491">
        <f>'[3]Maintainability Score Summary'!$F$36</f>
        <v>0</v>
      </c>
      <c r="L37" s="370"/>
      <c r="M37" s="491">
        <f>'[4]Maintainability Score Summary'!$F$36</f>
        <v>0</v>
      </c>
      <c r="N37" s="370"/>
    </row>
    <row r="38" spans="1:14" x14ac:dyDescent="0.35">
      <c r="A38" s="6">
        <v>4.2</v>
      </c>
      <c r="B38" s="9" t="str">
        <f>'[3]Maintainability Score Summary'!$B$37</f>
        <v>Power Distribution System</v>
      </c>
      <c r="C38" s="370">
        <f>'[3]Maintainability Score Summary'!$E$37</f>
        <v>3</v>
      </c>
      <c r="D38" s="370"/>
      <c r="E38" s="370">
        <f t="shared" si="2"/>
        <v>0</v>
      </c>
      <c r="F38" s="370"/>
      <c r="G38" s="312"/>
      <c r="H38" s="304"/>
      <c r="I38" s="304"/>
      <c r="K38" s="491">
        <f>'[3]Maintainability Score Summary'!$F$37</f>
        <v>0</v>
      </c>
      <c r="L38" s="370"/>
      <c r="M38" s="491">
        <f>'[4]Maintainability Score Summary'!$F$37</f>
        <v>0</v>
      </c>
      <c r="N38" s="370"/>
    </row>
    <row r="39" spans="1:14" x14ac:dyDescent="0.35">
      <c r="A39" s="6">
        <v>4.3</v>
      </c>
      <c r="B39" s="9" t="str">
        <f>'[3]Maintainability Score Summary'!$B$38</f>
        <v>Extra Low Voltage System</v>
      </c>
      <c r="C39" s="370">
        <f>'[3]Maintainability Score Summary'!$E$38</f>
        <v>3</v>
      </c>
      <c r="D39" s="370"/>
      <c r="E39" s="370">
        <f t="shared" si="2"/>
        <v>0</v>
      </c>
      <c r="F39" s="370"/>
      <c r="G39" s="312"/>
      <c r="H39" s="304"/>
      <c r="I39" s="304"/>
      <c r="K39" s="491">
        <f>'[3]Maintainability Score Summary'!$F$38</f>
        <v>0</v>
      </c>
      <c r="L39" s="370"/>
      <c r="M39" s="491">
        <f>'[4]Maintainability Score Summary'!$F$38</f>
        <v>0</v>
      </c>
      <c r="N39" s="370"/>
    </row>
    <row r="40" spans="1:14" x14ac:dyDescent="0.35">
      <c r="A40" s="6">
        <v>4.4000000000000004</v>
      </c>
      <c r="B40" s="9" t="str">
        <f>'[3]Maintainability Score Summary'!$B$39</f>
        <v>Lightning Protection System</v>
      </c>
      <c r="C40" s="370">
        <f>'[3]Maintainability Score Summary'!$E$39</f>
        <v>1</v>
      </c>
      <c r="D40" s="370"/>
      <c r="E40" s="370">
        <f t="shared" si="2"/>
        <v>0</v>
      </c>
      <c r="F40" s="370"/>
      <c r="G40" s="312"/>
      <c r="H40" s="304"/>
      <c r="I40" s="304"/>
      <c r="K40" s="491">
        <f>'[3]Maintainability Score Summary'!$F$39</f>
        <v>0</v>
      </c>
      <c r="L40" s="370"/>
      <c r="M40" s="491">
        <f>'[4]Maintainability Score Summary'!$F$39</f>
        <v>0</v>
      </c>
      <c r="N40" s="370"/>
    </row>
    <row r="41" spans="1:14" x14ac:dyDescent="0.35">
      <c r="A41" s="6">
        <v>4.5</v>
      </c>
      <c r="B41" s="9" t="str">
        <f>'[3]Maintainability Score Summary'!$B$40</f>
        <v>Vertical Transportation System</v>
      </c>
      <c r="C41" s="370">
        <f>'[3]Maintainability Score Summary'!$E$40</f>
        <v>2</v>
      </c>
      <c r="D41" s="370"/>
      <c r="E41" s="370">
        <f t="shared" si="2"/>
        <v>0</v>
      </c>
      <c r="F41" s="370"/>
      <c r="G41" s="312"/>
      <c r="H41" s="304"/>
      <c r="I41" s="304"/>
      <c r="K41" s="491">
        <f>'[3]Maintainability Score Summary'!$F$40</f>
        <v>0</v>
      </c>
      <c r="L41" s="370"/>
      <c r="M41" s="491">
        <f>'[4]Maintainability Score Summary'!$F$40</f>
        <v>0</v>
      </c>
      <c r="N41" s="370"/>
    </row>
    <row r="42" spans="1:14" x14ac:dyDescent="0.35">
      <c r="A42" s="6">
        <v>4.5999999999999996</v>
      </c>
      <c r="B42" s="9" t="str">
        <f>'[3]Maintainability Score Summary'!$B$41</f>
        <v>Carpark Entry System</v>
      </c>
      <c r="C42" s="370" t="str">
        <f>'[3]Maintainability Score Summary'!$E$41</f>
        <v>Pre-req</v>
      </c>
      <c r="D42" s="370"/>
      <c r="E42" s="370">
        <f t="shared" si="2"/>
        <v>0</v>
      </c>
      <c r="F42" s="370"/>
      <c r="G42" s="50"/>
      <c r="H42" s="304"/>
      <c r="I42" s="304"/>
      <c r="K42" s="370"/>
      <c r="L42" s="370"/>
      <c r="M42" s="370"/>
      <c r="N42" s="370"/>
    </row>
    <row r="43" spans="1:14" x14ac:dyDescent="0.35">
      <c r="A43" s="512" t="s">
        <v>462</v>
      </c>
      <c r="B43" s="512"/>
      <c r="C43" s="500">
        <f>'[3]Maintainability Score Summary'!$L$6</f>
        <v>10.5</v>
      </c>
      <c r="D43" s="500"/>
      <c r="E43" s="500">
        <f t="shared" si="2"/>
        <v>0</v>
      </c>
      <c r="F43" s="500"/>
      <c r="G43" s="303" t="str">
        <f>IF(OR(G44="",G45="",G47="",G48="",G49=""),"",SUM(G44:G45,G47:G49))</f>
        <v/>
      </c>
      <c r="H43" s="304"/>
      <c r="I43" s="304"/>
      <c r="K43" s="499">
        <f>'[3]Maintainability Score Summary'!$M$6</f>
        <v>0</v>
      </c>
      <c r="L43" s="500"/>
      <c r="M43" s="499">
        <f>'[4]Maintainability Score Summary'!$M$6</f>
        <v>0</v>
      </c>
      <c r="N43" s="500"/>
    </row>
    <row r="44" spans="1:14" x14ac:dyDescent="0.35">
      <c r="A44" s="6">
        <v>5.0999999999999996</v>
      </c>
      <c r="B44" s="9" t="str">
        <f>'[3]Maintainability Score Summary'!$I$7</f>
        <v>Softscape</v>
      </c>
      <c r="C44" s="370">
        <f>'[3]Maintainability Score Summary'!$L$7</f>
        <v>1</v>
      </c>
      <c r="D44" s="370"/>
      <c r="E44" s="370">
        <f t="shared" si="2"/>
        <v>0</v>
      </c>
      <c r="F44" s="370"/>
      <c r="G44" s="312"/>
      <c r="H44" s="304"/>
      <c r="I44" s="304"/>
      <c r="K44" s="491">
        <f>'[3]Maintainability Score Summary'!$M$7</f>
        <v>0</v>
      </c>
      <c r="L44" s="370"/>
      <c r="M44" s="491">
        <f>'[4]Maintainability Score Summary'!$M$7</f>
        <v>0</v>
      </c>
      <c r="N44" s="370"/>
    </row>
    <row r="45" spans="1:14" x14ac:dyDescent="0.35">
      <c r="A45" s="6">
        <v>5.2</v>
      </c>
      <c r="B45" s="9" t="str">
        <f>'[3]Maintainability Score Summary'!$I$8</f>
        <v>Hardscape</v>
      </c>
      <c r="C45" s="370">
        <f>'[3]Maintainability Score Summary'!$L$8</f>
        <v>3.5</v>
      </c>
      <c r="D45" s="370"/>
      <c r="E45" s="370">
        <f t="shared" si="2"/>
        <v>0</v>
      </c>
      <c r="F45" s="370"/>
      <c r="G45" s="312"/>
      <c r="H45" s="304"/>
      <c r="I45" s="304"/>
      <c r="K45" s="491">
        <f>'[3]Maintainability Score Summary'!$M$8</f>
        <v>0</v>
      </c>
      <c r="L45" s="370"/>
      <c r="M45" s="491">
        <f>'[4]Maintainability Score Summary'!$M$8</f>
        <v>0</v>
      </c>
      <c r="N45" s="370"/>
    </row>
    <row r="46" spans="1:14" x14ac:dyDescent="0.35">
      <c r="A46" s="6">
        <v>5.3</v>
      </c>
      <c r="B46" s="9" t="str">
        <f>'[3]Maintainability Score Summary'!$I$9</f>
        <v>Vertical Greenery</v>
      </c>
      <c r="C46" s="370" t="str">
        <f>'[3]Maintainability Score Summary'!$L$9</f>
        <v>Pre-req</v>
      </c>
      <c r="D46" s="370"/>
      <c r="E46" s="370">
        <f t="shared" si="2"/>
        <v>0</v>
      </c>
      <c r="F46" s="370"/>
      <c r="G46" s="50"/>
      <c r="H46" s="304"/>
      <c r="I46" s="304"/>
      <c r="K46" s="370"/>
      <c r="L46" s="370"/>
      <c r="M46" s="370"/>
      <c r="N46" s="370"/>
    </row>
    <row r="47" spans="1:14" x14ac:dyDescent="0.35">
      <c r="A47" s="6">
        <v>5.4</v>
      </c>
      <c r="B47" s="9" t="str">
        <f>'[3]Maintainability Score Summary'!$I$10</f>
        <v>Roof and Sky Terraces</v>
      </c>
      <c r="C47" s="370">
        <f>'[3]Maintainability Score Summary'!$L$10</f>
        <v>1</v>
      </c>
      <c r="D47" s="370"/>
      <c r="E47" s="370">
        <f t="shared" si="2"/>
        <v>0</v>
      </c>
      <c r="F47" s="370"/>
      <c r="G47" s="312"/>
      <c r="H47" s="304"/>
      <c r="I47" s="304"/>
      <c r="K47" s="491">
        <f>'[3]Maintainability Score Summary'!$M$10</f>
        <v>0</v>
      </c>
      <c r="L47" s="370"/>
      <c r="M47" s="491">
        <f>'[4]Maintainability Score Summary'!$M$10</f>
        <v>0</v>
      </c>
      <c r="N47" s="370"/>
    </row>
    <row r="48" spans="1:14" x14ac:dyDescent="0.35">
      <c r="A48" s="6">
        <v>5.5</v>
      </c>
      <c r="B48" s="9" t="str">
        <f>'[3]Maintainability Score Summary'!$I$11</f>
        <v>Water Retaining Structures</v>
      </c>
      <c r="C48" s="370">
        <f>'[3]Maintainability Score Summary'!$L$11</f>
        <v>3</v>
      </c>
      <c r="D48" s="370"/>
      <c r="E48" s="370">
        <f t="shared" si="2"/>
        <v>0</v>
      </c>
      <c r="F48" s="370"/>
      <c r="G48" s="312"/>
      <c r="H48" s="304"/>
      <c r="I48" s="304"/>
      <c r="K48" s="491">
        <f>'[3]Maintainability Score Summary'!$M$11</f>
        <v>0</v>
      </c>
      <c r="L48" s="370"/>
      <c r="M48" s="491">
        <f>'[4]Maintainability Score Summary'!$M$11</f>
        <v>0</v>
      </c>
      <c r="N48" s="370"/>
    </row>
    <row r="49" spans="1:14" x14ac:dyDescent="0.35">
      <c r="A49" s="6">
        <v>5.6</v>
      </c>
      <c r="B49" s="9" t="str">
        <f>'[3]Maintainability Score Summary'!$I$12</f>
        <v>Standalone Structures</v>
      </c>
      <c r="C49" s="370">
        <f>'[3]Maintainability Score Summary'!$L$12</f>
        <v>2</v>
      </c>
      <c r="D49" s="370"/>
      <c r="E49" s="370">
        <f t="shared" si="2"/>
        <v>0</v>
      </c>
      <c r="F49" s="370"/>
      <c r="G49" s="312"/>
      <c r="H49" s="304"/>
      <c r="I49" s="304"/>
      <c r="K49" s="491">
        <f>'[3]Maintainability Score Summary'!$M$12</f>
        <v>0</v>
      </c>
      <c r="L49" s="370"/>
      <c r="M49" s="491">
        <f>'[4]Maintainability Score Summary'!$M$12</f>
        <v>0</v>
      </c>
      <c r="N49" s="370"/>
    </row>
    <row r="50" spans="1:14" x14ac:dyDescent="0.35">
      <c r="A50" s="512" t="s">
        <v>463</v>
      </c>
      <c r="B50" s="512"/>
      <c r="C50" s="500">
        <f>'[3]Maintainability Score Summary'!$L$13</f>
        <v>2</v>
      </c>
      <c r="D50" s="500"/>
      <c r="E50" s="500">
        <f t="shared" si="2"/>
        <v>0</v>
      </c>
      <c r="F50" s="500"/>
      <c r="G50" s="303" t="str">
        <f>IF(G51="","",G51)</f>
        <v/>
      </c>
      <c r="H50" s="304"/>
      <c r="I50" s="304"/>
      <c r="K50" s="499">
        <f>'[3]Maintainability Score Summary'!$M$13</f>
        <v>0</v>
      </c>
      <c r="L50" s="500"/>
      <c r="M50" s="499">
        <f>'[4]Maintainability Score Summary'!$M$13</f>
        <v>0</v>
      </c>
      <c r="N50" s="500"/>
    </row>
    <row r="51" spans="1:14" x14ac:dyDescent="0.35">
      <c r="A51" s="6">
        <v>6.1</v>
      </c>
      <c r="B51" s="9" t="str">
        <f>'[3]Maintainability Score Summary'!$I$14</f>
        <v>Outdoor games court</v>
      </c>
      <c r="C51" s="370">
        <f>'[3]Maintainability Score Summary'!$L$14</f>
        <v>2</v>
      </c>
      <c r="D51" s="370"/>
      <c r="E51" s="370">
        <f t="shared" si="2"/>
        <v>0</v>
      </c>
      <c r="F51" s="370"/>
      <c r="G51" s="312"/>
      <c r="H51" s="304"/>
      <c r="I51" s="304"/>
      <c r="K51" s="491">
        <f>'[3]Maintainability Score Summary'!$M$14</f>
        <v>0</v>
      </c>
      <c r="L51" s="370"/>
      <c r="M51" s="491">
        <f>'[4]Maintainability Score Summary'!$M$14</f>
        <v>0</v>
      </c>
      <c r="N51" s="370"/>
    </row>
    <row r="52" spans="1:14" x14ac:dyDescent="0.35">
      <c r="A52" s="512" t="s">
        <v>464</v>
      </c>
      <c r="B52" s="512" t="s">
        <v>465</v>
      </c>
      <c r="C52" s="500">
        <f>'[3]Maintainability Score Summary'!$L$15</f>
        <v>5</v>
      </c>
      <c r="D52" s="500"/>
      <c r="E52" s="500">
        <f t="shared" si="2"/>
        <v>0</v>
      </c>
      <c r="F52" s="500"/>
      <c r="G52" s="303" t="str">
        <f>IF(G53="","",G53)</f>
        <v/>
      </c>
      <c r="H52" s="304"/>
      <c r="I52" s="304"/>
      <c r="K52" s="499">
        <f>'[3]Maintainability Score Summary'!$M$15</f>
        <v>0</v>
      </c>
      <c r="L52" s="500"/>
      <c r="M52" s="499">
        <f>'[4]Maintainability Score Summary'!$M$15</f>
        <v>0</v>
      </c>
      <c r="N52" s="500"/>
    </row>
    <row r="53" spans="1:14" x14ac:dyDescent="0.35">
      <c r="A53" s="6">
        <v>7.1</v>
      </c>
      <c r="B53" s="9" t="str">
        <f>'[3]Maintainability Score Summary'!$I$16</f>
        <v>Innovation features in labour-saving/maintenance-free</v>
      </c>
      <c r="C53" s="370">
        <f>'[3]Maintainability Score Summary'!$L$16</f>
        <v>5</v>
      </c>
      <c r="D53" s="370"/>
      <c r="E53" s="370">
        <f t="shared" si="2"/>
        <v>0</v>
      </c>
      <c r="F53" s="370"/>
      <c r="G53" s="312"/>
      <c r="H53" s="304"/>
      <c r="I53" s="304"/>
      <c r="K53" s="491">
        <f>'[3]Maintainability Score Summary'!$M$16</f>
        <v>0</v>
      </c>
      <c r="L53" s="370"/>
      <c r="M53" s="491">
        <f>'[4]Maintainability Score Summary'!$M$16</f>
        <v>0</v>
      </c>
      <c r="N53" s="370"/>
    </row>
    <row r="54" spans="1:14" x14ac:dyDescent="0.35">
      <c r="A54" s="512" t="s">
        <v>466</v>
      </c>
      <c r="B54" s="512"/>
      <c r="C54" s="500">
        <v>4</v>
      </c>
      <c r="D54" s="500"/>
      <c r="E54" s="500">
        <f t="shared" si="2"/>
        <v>0</v>
      </c>
      <c r="F54" s="500"/>
      <c r="G54" s="303" t="str">
        <f>IF(OR(G55="",G56=""),"",SUM(G55:G56))</f>
        <v/>
      </c>
      <c r="H54" s="304"/>
      <c r="I54" s="304"/>
      <c r="K54" s="499">
        <f>SUM(K55:K56)</f>
        <v>0</v>
      </c>
      <c r="L54" s="499"/>
      <c r="M54" s="499">
        <f>SUM(M55:M56)</f>
        <v>0</v>
      </c>
      <c r="N54" s="499"/>
    </row>
    <row r="55" spans="1:14" x14ac:dyDescent="0.35">
      <c r="A55" s="8"/>
      <c r="B55" s="9" t="str">
        <f>'[3]Maintainability Score Summary'!$H$18</f>
        <v>Section 1 BONUS POINTS</v>
      </c>
      <c r="C55" s="370">
        <f>'[3]Maintainability Score Summary'!$L$18</f>
        <v>3</v>
      </c>
      <c r="D55" s="370"/>
      <c r="E55" s="370">
        <f t="shared" si="2"/>
        <v>0</v>
      </c>
      <c r="F55" s="370"/>
      <c r="G55" s="312"/>
      <c r="H55" s="304"/>
      <c r="I55" s="304"/>
      <c r="K55" s="491">
        <f>'[3]Maintainability Score Summary'!$M$18</f>
        <v>0</v>
      </c>
      <c r="L55" s="370"/>
      <c r="M55" s="491">
        <f>'[4]Maintainability Score Summary'!$M$18</f>
        <v>0</v>
      </c>
      <c r="N55" s="370"/>
    </row>
    <row r="56" spans="1:14" x14ac:dyDescent="0.35">
      <c r="A56" s="8"/>
      <c r="B56" s="9" t="str">
        <f>'[3]Maintainability Score Summary'!$H$19</f>
        <v>Section 5 BONUS POINTS</v>
      </c>
      <c r="C56" s="370">
        <f>'[3]Maintainability Score Summary'!$L$19</f>
        <v>1</v>
      </c>
      <c r="D56" s="370"/>
      <c r="E56" s="370">
        <f t="shared" si="2"/>
        <v>0</v>
      </c>
      <c r="F56" s="370"/>
      <c r="G56" s="312"/>
      <c r="H56" s="304"/>
      <c r="I56" s="304"/>
      <c r="K56" s="491">
        <f>'[3]Maintainability Score Summary'!$M$19</f>
        <v>0</v>
      </c>
      <c r="L56" s="370"/>
      <c r="M56" s="491">
        <f>'[4]Maintainability Score Summary'!$M$19</f>
        <v>0</v>
      </c>
      <c r="N56" s="370"/>
    </row>
    <row r="57" spans="1:14" s="1" customFormat="1" x14ac:dyDescent="0.35">
      <c r="A57" s="21"/>
      <c r="B57" s="22" t="s">
        <v>467</v>
      </c>
      <c r="C57" s="494" t="str">
        <f>IF(J57=0,IF(OR(G52="",G50="",G43="",G36="",G28="",G22="",G10="",G8=""),"",G52+G50+G43+G36+G28+G22+G10+G8),J57)</f>
        <v/>
      </c>
      <c r="D57" s="494"/>
      <c r="E57" s="494"/>
      <c r="F57" s="494"/>
      <c r="G57" s="494"/>
      <c r="H57" s="304"/>
      <c r="I57" s="307"/>
      <c r="J57" s="309">
        <f>MAX(K57:N57)</f>
        <v>0</v>
      </c>
      <c r="K57" s="501">
        <f>'[3]Maintainability Score Summary'!$K$22</f>
        <v>0</v>
      </c>
      <c r="L57" s="501"/>
      <c r="M57" s="501">
        <f>'[4]Maintainability Score Summary'!$K$22</f>
        <v>0</v>
      </c>
      <c r="N57" s="501"/>
    </row>
    <row r="58" spans="1:14" s="1" customFormat="1" x14ac:dyDescent="0.35">
      <c r="A58" s="21"/>
      <c r="B58" s="22" t="s">
        <v>468</v>
      </c>
      <c r="C58" s="494">
        <f>MAX(K58:N58)</f>
        <v>0</v>
      </c>
      <c r="D58" s="509"/>
      <c r="E58" s="509"/>
      <c r="F58" s="509"/>
      <c r="G58" s="311"/>
      <c r="H58" s="304"/>
      <c r="I58" s="307"/>
      <c r="J58" s="306"/>
      <c r="K58" s="492">
        <f>'[3]Maintainability Score Summary'!$K$24</f>
        <v>0</v>
      </c>
      <c r="L58" s="493"/>
      <c r="M58" s="492">
        <f>'[4]Maintainability Score Summary'!$K$24</f>
        <v>0</v>
      </c>
      <c r="N58" s="493"/>
    </row>
    <row r="59" spans="1:14" s="1" customFormat="1" x14ac:dyDescent="0.35">
      <c r="A59" s="21"/>
      <c r="B59" s="310" t="s">
        <v>476</v>
      </c>
      <c r="C59" s="494">
        <f>MAX(K59:N59)</f>
        <v>0</v>
      </c>
      <c r="D59" s="509"/>
      <c r="E59" s="509"/>
      <c r="F59" s="509"/>
      <c r="G59" s="308" t="str">
        <f>IF(OR(G55="",G56="",C57=""),"",IF(C57=J60,G55+G56,""))</f>
        <v/>
      </c>
      <c r="H59" s="304"/>
      <c r="I59" s="307"/>
      <c r="J59" s="306"/>
      <c r="K59" s="494">
        <f>'[3]Maintainability Score Summary'!$N$22</f>
        <v>0</v>
      </c>
      <c r="L59" s="494"/>
      <c r="M59" s="494">
        <f>'[4]Maintainability Score Summary'!$N$22</f>
        <v>0</v>
      </c>
      <c r="N59" s="494"/>
    </row>
    <row r="60" spans="1:14" s="1" customFormat="1" x14ac:dyDescent="0.35">
      <c r="A60" s="21"/>
      <c r="B60" s="507" t="s">
        <v>469</v>
      </c>
      <c r="C60" s="492" t="s">
        <v>470</v>
      </c>
      <c r="D60" s="493"/>
      <c r="E60" s="495">
        <f>MAX(K60:N60)</f>
        <v>0</v>
      </c>
      <c r="F60" s="496"/>
      <c r="G60" s="308">
        <f>IF(OR(C57="",G54=""),0,IF(C57=J60,(C57/(71-G58))*71,0))</f>
        <v>0</v>
      </c>
      <c r="H60" s="304"/>
      <c r="I60" s="307"/>
      <c r="J60" s="309" t="str">
        <f>IF(OR(G52="",G50="",G43="",G36="",G28="",G22="",G10="",G8=""),"",G52+G50+G43+G36+G28+G22+G10+G8)</f>
        <v/>
      </c>
      <c r="K60" s="495">
        <f>'[3]Maintainability Score Summary'!$K$25</f>
        <v>0</v>
      </c>
      <c r="L60" s="496"/>
      <c r="M60" s="495">
        <f>'[4]Maintainability Score Summary'!$K$25</f>
        <v>0</v>
      </c>
      <c r="N60" s="496"/>
    </row>
    <row r="61" spans="1:14" s="1" customFormat="1" x14ac:dyDescent="0.35">
      <c r="A61" s="21"/>
      <c r="B61" s="508"/>
      <c r="C61" s="492" t="s">
        <v>471</v>
      </c>
      <c r="D61" s="493"/>
      <c r="E61" s="495">
        <f>MAX(K61:N61)</f>
        <v>0</v>
      </c>
      <c r="F61" s="496"/>
      <c r="G61" s="308">
        <f>IF(OR(G60="",G59=""),0,G60+G59)</f>
        <v>0</v>
      </c>
      <c r="H61" s="304"/>
      <c r="I61" s="307"/>
      <c r="J61" s="306"/>
      <c r="K61" s="495">
        <f>'[3]Maintainability Score Summary'!$M$25</f>
        <v>0</v>
      </c>
      <c r="L61" s="496"/>
      <c r="M61" s="495">
        <f>'[4]Maintainability Score Summary'!$M$25</f>
        <v>0</v>
      </c>
      <c r="N61" s="496"/>
    </row>
    <row r="62" spans="1:14" x14ac:dyDescent="0.35">
      <c r="A62" s="21"/>
      <c r="B62" s="22" t="s">
        <v>472</v>
      </c>
      <c r="C62" s="509">
        <f>MAX(K62:N62)</f>
        <v>0</v>
      </c>
      <c r="D62" s="509"/>
      <c r="E62" s="509"/>
      <c r="F62" s="509"/>
      <c r="G62" s="305"/>
      <c r="H62" s="304"/>
      <c r="I62" s="304"/>
      <c r="J62" s="19">
        <f>IF(AND(C62="",G62=""),"",IF(C62="",G62,C62))</f>
        <v>0</v>
      </c>
      <c r="K62" s="497" t="str">
        <f>'[3]Maintainability Score Summary'!$M$30</f>
        <v/>
      </c>
      <c r="L62" s="498"/>
      <c r="M62" s="497" t="str">
        <f>'[4]Maintainability Score Summary'!$M$30</f>
        <v/>
      </c>
      <c r="N62" s="498"/>
    </row>
    <row r="63" spans="1:14" x14ac:dyDescent="0.35">
      <c r="A63" s="21"/>
      <c r="B63" s="22" t="s">
        <v>473</v>
      </c>
      <c r="C63" s="492">
        <f>IF(J63=0,IF(G61=0,0,IF(G61/4&gt;15,15,G61/4)),J63)</f>
        <v>0</v>
      </c>
      <c r="D63" s="513"/>
      <c r="E63" s="513"/>
      <c r="F63" s="513"/>
      <c r="G63" s="493"/>
      <c r="H63" s="304"/>
      <c r="I63" s="304"/>
      <c r="J63" s="309">
        <f>MAX(K63:N63)</f>
        <v>0</v>
      </c>
      <c r="K63" s="527">
        <f>'[3]Maintainability Score Summary'!$M$31</f>
        <v>0</v>
      </c>
      <c r="L63" s="527"/>
      <c r="M63" s="527">
        <f>'[4]Maintainability Score Summary'!$M$31</f>
        <v>0</v>
      </c>
      <c r="N63" s="527"/>
    </row>
    <row r="64" spans="1:14" x14ac:dyDescent="0.35">
      <c r="A64" s="21"/>
      <c r="B64" s="22" t="s">
        <v>474</v>
      </c>
      <c r="C64" s="506" t="str">
        <f>IF(AND(C63=0,G61=""),"",IF(AND(C63&gt;=10,J62=0),"Yes","No"))</f>
        <v>No</v>
      </c>
      <c r="D64" s="506"/>
      <c r="E64" s="506"/>
      <c r="F64" s="506"/>
      <c r="G64" s="506"/>
      <c r="H64" s="304"/>
      <c r="I64" s="304"/>
    </row>
  </sheetData>
  <sheetProtection algorithmName="SHA-512" hashValue="VwZpPbNLtv9CigVL03RcPSLSsEcLaLKHmMRYleTCQUoOIR1uxvquM0FHWReC7b73rObMsqBl4YqRUiuZbJOBCw==" saltValue="mtx8WOcIDCylAXPJYzF6KA==" spinCount="100000" sheet="1" formatCells="0" selectLockedCells="1"/>
  <mergeCells count="238">
    <mergeCell ref="K63:L63"/>
    <mergeCell ref="M63:N63"/>
    <mergeCell ref="G14:G16"/>
    <mergeCell ref="E43:F43"/>
    <mergeCell ref="C43:D43"/>
    <mergeCell ref="C40:D40"/>
    <mergeCell ref="E40:F40"/>
    <mergeCell ref="C41:D41"/>
    <mergeCell ref="C38:D38"/>
    <mergeCell ref="E38:F38"/>
    <mergeCell ref="C39:D39"/>
    <mergeCell ref="C29:D29"/>
    <mergeCell ref="E29:F29"/>
    <mergeCell ref="E34:F34"/>
    <mergeCell ref="C35:D35"/>
    <mergeCell ref="E35:F35"/>
    <mergeCell ref="C37:D37"/>
    <mergeCell ref="E30:F30"/>
    <mergeCell ref="E31:F31"/>
    <mergeCell ref="E20:F20"/>
    <mergeCell ref="C32:D32"/>
    <mergeCell ref="E32:F32"/>
    <mergeCell ref="C33:D33"/>
    <mergeCell ref="E33:F33"/>
    <mergeCell ref="E37:F37"/>
    <mergeCell ref="C58:F58"/>
    <mergeCell ref="E25:F25"/>
    <mergeCell ref="C62:F62"/>
    <mergeCell ref="E55:F55"/>
    <mergeCell ref="C55:D55"/>
    <mergeCell ref="C54:D54"/>
    <mergeCell ref="E54:F54"/>
    <mergeCell ref="E27:F27"/>
    <mergeCell ref="E21:F21"/>
    <mergeCell ref="C27:D27"/>
    <mergeCell ref="C22:D22"/>
    <mergeCell ref="C26:D26"/>
    <mergeCell ref="C28:D28"/>
    <mergeCell ref="C47:D47"/>
    <mergeCell ref="E47:F47"/>
    <mergeCell ref="E23:F23"/>
    <mergeCell ref="C44:D44"/>
    <mergeCell ref="E44:F44"/>
    <mergeCell ref="C45:D45"/>
    <mergeCell ref="E45:F45"/>
    <mergeCell ref="C46:D46"/>
    <mergeCell ref="E46:F46"/>
    <mergeCell ref="E26:F26"/>
    <mergeCell ref="E22:F22"/>
    <mergeCell ref="C31:D31"/>
    <mergeCell ref="E36:F36"/>
    <mergeCell ref="C36:D36"/>
    <mergeCell ref="E41:F41"/>
    <mergeCell ref="C42:D42"/>
    <mergeCell ref="E42:F42"/>
    <mergeCell ref="E24:F24"/>
    <mergeCell ref="E39:F39"/>
    <mergeCell ref="A52:B52"/>
    <mergeCell ref="C56:D56"/>
    <mergeCell ref="E56:F56"/>
    <mergeCell ref="C51:D51"/>
    <mergeCell ref="E51:F51"/>
    <mergeCell ref="C52:D52"/>
    <mergeCell ref="E52:F52"/>
    <mergeCell ref="C49:D49"/>
    <mergeCell ref="E49:F49"/>
    <mergeCell ref="C50:D50"/>
    <mergeCell ref="E50:F50"/>
    <mergeCell ref="C53:D53"/>
    <mergeCell ref="E53:F53"/>
    <mergeCell ref="A2:G2"/>
    <mergeCell ref="A11:B11"/>
    <mergeCell ref="A13:B13"/>
    <mergeCell ref="A17:B17"/>
    <mergeCell ref="C48:D48"/>
    <mergeCell ref="E48:F48"/>
    <mergeCell ref="E28:F28"/>
    <mergeCell ref="E11:F11"/>
    <mergeCell ref="E13:F13"/>
    <mergeCell ref="E17:F17"/>
    <mergeCell ref="C23:D23"/>
    <mergeCell ref="C24:D24"/>
    <mergeCell ref="C25:D25"/>
    <mergeCell ref="C18:D18"/>
    <mergeCell ref="C19:D19"/>
    <mergeCell ref="C14:D16"/>
    <mergeCell ref="C20:D20"/>
    <mergeCell ref="C13:D13"/>
    <mergeCell ref="C17:D17"/>
    <mergeCell ref="E6:F6"/>
    <mergeCell ref="E7:F7"/>
    <mergeCell ref="E8:F8"/>
    <mergeCell ref="E10:F10"/>
    <mergeCell ref="E14:F16"/>
    <mergeCell ref="A3:G3"/>
    <mergeCell ref="A4:G4"/>
    <mergeCell ref="C6:D6"/>
    <mergeCell ref="C7:D7"/>
    <mergeCell ref="C8:D8"/>
    <mergeCell ref="C9:D9"/>
    <mergeCell ref="C10:D10"/>
    <mergeCell ref="C11:D11"/>
    <mergeCell ref="E12:F12"/>
    <mergeCell ref="E9:F9"/>
    <mergeCell ref="C64:G64"/>
    <mergeCell ref="B60:B61"/>
    <mergeCell ref="C60:D60"/>
    <mergeCell ref="C61:D61"/>
    <mergeCell ref="E60:F60"/>
    <mergeCell ref="E61:F61"/>
    <mergeCell ref="C57:G57"/>
    <mergeCell ref="C59:F59"/>
    <mergeCell ref="A7:B7"/>
    <mergeCell ref="C12:D12"/>
    <mergeCell ref="C21:D21"/>
    <mergeCell ref="A43:B43"/>
    <mergeCell ref="A50:B50"/>
    <mergeCell ref="A54:B54"/>
    <mergeCell ref="C63:G63"/>
    <mergeCell ref="A8:B8"/>
    <mergeCell ref="A10:B10"/>
    <mergeCell ref="A22:B22"/>
    <mergeCell ref="A28:B28"/>
    <mergeCell ref="A36:B36"/>
    <mergeCell ref="C30:D30"/>
    <mergeCell ref="C34:D34"/>
    <mergeCell ref="E18:F18"/>
    <mergeCell ref="E19:F19"/>
    <mergeCell ref="K6:L6"/>
    <mergeCell ref="K7:L7"/>
    <mergeCell ref="K8:L8"/>
    <mergeCell ref="K9:L9"/>
    <mergeCell ref="K10:L10"/>
    <mergeCell ref="K11:L11"/>
    <mergeCell ref="K12:L12"/>
    <mergeCell ref="K13:L13"/>
    <mergeCell ref="K14: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54:L54"/>
    <mergeCell ref="K55:L55"/>
    <mergeCell ref="K56:L56"/>
    <mergeCell ref="K58:L58"/>
    <mergeCell ref="K59:L59"/>
    <mergeCell ref="K60:L60"/>
    <mergeCell ref="K44:L44"/>
    <mergeCell ref="K45:L45"/>
    <mergeCell ref="K46:L46"/>
    <mergeCell ref="K47:L47"/>
    <mergeCell ref="K48:L48"/>
    <mergeCell ref="K49:L49"/>
    <mergeCell ref="K50:L50"/>
    <mergeCell ref="K51:L51"/>
    <mergeCell ref="K52:L52"/>
    <mergeCell ref="K57:L57"/>
    <mergeCell ref="K61:L61"/>
    <mergeCell ref="K62:L62"/>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M23:N23"/>
    <mergeCell ref="M24:N24"/>
    <mergeCell ref="M25:N25"/>
    <mergeCell ref="M26:N26"/>
    <mergeCell ref="M27:N27"/>
    <mergeCell ref="M28:N28"/>
    <mergeCell ref="K53:L53"/>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56:N56"/>
    <mergeCell ref="M58:N58"/>
    <mergeCell ref="M59:N59"/>
    <mergeCell ref="M60:N60"/>
    <mergeCell ref="M61:N61"/>
    <mergeCell ref="M62:N62"/>
    <mergeCell ref="M47:N47"/>
    <mergeCell ref="M48:N48"/>
    <mergeCell ref="M49:N49"/>
    <mergeCell ref="M50:N50"/>
    <mergeCell ref="M51:N51"/>
    <mergeCell ref="M52:N52"/>
    <mergeCell ref="M53:N53"/>
    <mergeCell ref="M54:N54"/>
    <mergeCell ref="M55:N55"/>
    <mergeCell ref="M57:N57"/>
  </mergeCells>
  <dataValidations count="12">
    <dataValidation type="decimal" allowBlank="1" showInputMessage="1" showErrorMessage="1" sqref="G9 G12 G14:G16 G53 G18:G20 G23:G27 G29 G31 G33:G35 G37:G41 G44:G45 G47:G49 G51 G55:G56" xr:uid="{00000000-0002-0000-0700-000000000000}">
      <formula1>0</formula1>
      <formula2>C9</formula2>
    </dataValidation>
    <dataValidation type="decimal" allowBlank="1" showInputMessage="1" showErrorMessage="1" sqref="K30:N30" xr:uid="{00000000-0002-0000-0700-000001000000}">
      <formula1>0</formula1>
      <formula2>0</formula2>
    </dataValidation>
    <dataValidation type="decimal" allowBlank="1" showInputMessage="1" showErrorMessage="1" sqref="K12:N12" xr:uid="{00000000-0002-0000-0700-000002000000}">
      <formula1>0</formula1>
      <formula2>0.5</formula2>
    </dataValidation>
    <dataValidation type="decimal" allowBlank="1" showInputMessage="1" showErrorMessage="1" sqref="K45:N45" xr:uid="{00000000-0002-0000-0700-000003000000}">
      <formula1>0</formula1>
      <formula2>3.5</formula2>
    </dataValidation>
    <dataValidation type="decimal" allowBlank="1" showInputMessage="1" showErrorMessage="1" sqref="K19:N20 K29:N29 K41:N41 K49:N49 K51:N51" xr:uid="{00000000-0002-0000-0700-000004000000}">
      <formula1>0</formula1>
      <formula2>2</formula2>
    </dataValidation>
    <dataValidation type="decimal" allowBlank="1" showInputMessage="1" showErrorMessage="1" sqref="K26:N26" xr:uid="{00000000-0002-0000-0700-000005000000}">
      <formula1>0</formula1>
      <formula2>7</formula2>
    </dataValidation>
    <dataValidation type="decimal" allowBlank="1" showInputMessage="1" showErrorMessage="1" sqref="K31:N31 K24:N24 K34:N34 K40:N40 K44:N44 K47:N47 K56:N56" xr:uid="{00000000-0002-0000-0700-000006000000}">
      <formula1>0</formula1>
      <formula2>1</formula2>
    </dataValidation>
    <dataValidation type="decimal" allowBlank="1" showInputMessage="1" showErrorMessage="1" sqref="K23:N23" xr:uid="{00000000-0002-0000-0700-000007000000}">
      <formula1>0</formula1>
      <formula2>2.5</formula2>
    </dataValidation>
    <dataValidation type="decimal" allowBlank="1" showInputMessage="1" showErrorMessage="1" sqref="K25:N25 K27:N27" xr:uid="{00000000-0002-0000-0700-000008000000}">
      <formula1>0</formula1>
      <formula2>4</formula2>
    </dataValidation>
    <dataValidation type="decimal" allowBlank="1" showInputMessage="1" showErrorMessage="1" sqref="K37:N37" xr:uid="{00000000-0002-0000-0700-000009000000}">
      <formula1>0</formula1>
      <formula2>1.5</formula2>
    </dataValidation>
    <dataValidation type="decimal" allowBlank="1" showInputMessage="1" showErrorMessage="1" sqref="K55:N55 K9:N9 K18:N18 K33:N33 K35:N35 K38:N39 K48:N48 K53:N53" xr:uid="{00000000-0002-0000-0700-00000A000000}">
      <formula1>0</formula1>
      <formula2>3</formula2>
    </dataValidation>
    <dataValidation type="list" allowBlank="1" showInputMessage="1" showErrorMessage="1" sqref="K46:N46 K32:N32 K21:N21 K42:N42" xr:uid="{00000000-0002-0000-0700-00000B000000}">
      <formula1>"Y,N"</formula1>
    </dataValidation>
  </dataValidations>
  <pageMargins left="0.7" right="0.7" top="0.75" bottom="0.75" header="0.3" footer="0.3"/>
  <pageSetup paperSize="9" scale="65" orientation="portrait" r:id="rId1"/>
  <colBreaks count="1" manualBreakCount="1">
    <brk id="7" max="60" man="1"/>
  </colBreaks>
  <drawing r:id="rId2"/>
  <legacyDrawing r:id="rId3"/>
  <oleObjects>
    <mc:AlternateContent xmlns:mc="http://schemas.openxmlformats.org/markup-compatibility/2006">
      <mc:Choice Requires="x14">
        <oleObject progId="Worksheet" dvAspect="DVASPECT_ICON" shapeId="7171" r:id="rId4">
          <objectPr defaultSize="0" autoPict="0" r:id="rId5">
            <anchor moveWithCells="1">
              <from>
                <xdr:col>0</xdr:col>
                <xdr:colOff>0</xdr:colOff>
                <xdr:row>2</xdr:row>
                <xdr:rowOff>171450</xdr:rowOff>
              </from>
              <to>
                <xdr:col>1</xdr:col>
                <xdr:colOff>298450</xdr:colOff>
                <xdr:row>3</xdr:row>
                <xdr:rowOff>0</xdr:rowOff>
              </to>
            </anchor>
          </objectPr>
        </oleObject>
      </mc:Choice>
      <mc:Fallback>
        <oleObject progId="Worksheet" dvAspect="DVASPECT_ICON" shapeId="7171"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6AFF2056A95145A6B5C761651A0786" ma:contentTypeVersion="2" ma:contentTypeDescription="Create a new document." ma:contentTypeScope="" ma:versionID="be6f32415e24d8d7e76743ae20546465">
  <xsd:schema xmlns:xsd="http://www.w3.org/2001/XMLSchema" xmlns:xs="http://www.w3.org/2001/XMLSchema" xmlns:p="http://schemas.microsoft.com/office/2006/metadata/properties" xmlns:ns2="0b3cb28a-1a54-47b8-ac26-0dd7a10a3d05" targetNamespace="http://schemas.microsoft.com/office/2006/metadata/properties" ma:root="true" ma:fieldsID="b6f9d39df99d02760627bd46788f5429" ns2:_="">
    <xsd:import namespace="0b3cb28a-1a54-47b8-ac26-0dd7a10a3d0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cb28a-1a54-47b8-ac26-0dd7a10a3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24ABD6-1501-43F3-9804-982449FBF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cb28a-1a54-47b8-ac26-0dd7a10a3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8BD3F5-1903-4985-BA73-7191B56B08F4}">
  <ds:schemaRefs>
    <ds:schemaRef ds:uri="http://schemas.microsoft.com/sharepoint/v3/contenttype/forms"/>
  </ds:schemaRefs>
</ds:datastoreItem>
</file>

<file path=customXml/itemProps3.xml><?xml version="1.0" encoding="utf-8"?>
<ds:datastoreItem xmlns:ds="http://schemas.openxmlformats.org/officeDocument/2006/customXml" ds:itemID="{536FE89B-3D94-4C5A-BA60-95C4DF535039}">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www.w3.org/XML/1998/namespace"/>
    <ds:schemaRef ds:uri="0b3cb28a-1a54-47b8-ac26-0dd7a10a3d05"/>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Louis CHONG (BCA)</cp:lastModifiedBy>
  <cp:revision/>
  <dcterms:created xsi:type="dcterms:W3CDTF">2021-09-01T03:12:41Z</dcterms:created>
  <dcterms:modified xsi:type="dcterms:W3CDTF">2024-03-01T03:23:02Z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2021-10-19T09:59:16Z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0baf3cdf-1882-40a4-999e-dfa103d921a3</vt:lpwstr>
  </property>
  <property fmtid="{D5CDD505-2E9C-101B-9397-08002B2CF9AE}" pid="8" name="MSIP_Label_5434c4c7-833e-41e4-b0ab-cdb227a2f6f7_ContentBits">
    <vt:lpwstr>0</vt:lpwstr>
  </property>
  <property fmtid="{D5CDD505-2E9C-101B-9397-08002B2CF9AE}" pid="9" name="ContentTypeId">
    <vt:lpwstr>0x010100D16AFF2056A95145A6B5C761651A0786</vt:lpwstr>
  </property>
</Properties>
</file>