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updateLinks="never" defaultThemeVersion="166925"/>
  <mc:AlternateContent xmlns:mc="http://schemas.openxmlformats.org/markup-compatibility/2006">
    <mc:Choice Requires="x15">
      <x15ac:absPath xmlns:x15ac="http://schemas.microsoft.com/office/spreadsheetml/2010/11/ac" url="C:\Users\bca_jiajun\Downloads\"/>
    </mc:Choice>
  </mc:AlternateContent>
  <xr:revisionPtr revIDLastSave="0" documentId="13_ncr:1_{6F64F392-7106-405F-B8BB-73CBCE1652B2}" xr6:coauthVersionLast="47" xr6:coauthVersionMax="47" xr10:uidLastSave="{00000000-0000-0000-0000-000000000000}"/>
  <bookViews>
    <workbookView xWindow="-110" yWindow="-110" windowWidth="19420" windowHeight="11500" tabRatio="889" xr2:uid="{00000000-000D-0000-FFFF-FFFF00000000}"/>
  </bookViews>
  <sheets>
    <sheet name="1. Project Details" sheetId="27" r:id="rId1"/>
    <sheet name="2. Summary" sheetId="1" r:id="rId2"/>
    <sheet name="3. Energy Efficiency" sheetId="28" r:id="rId3"/>
    <sheet name="4. Resilience" sheetId="2" r:id="rId4"/>
    <sheet name="5. Whole Life Carbon" sheetId="3" r:id="rId5"/>
    <sheet name="6. Health&amp;Wellbeing" sheetId="29" r:id="rId6"/>
    <sheet name="7. Intelligence" sheetId="16" r:id="rId7"/>
    <sheet name="8. Maintainability" sheetId="26" r:id="rId8"/>
  </sheets>
  <externalReferences>
    <externalReference r:id="rId9"/>
    <externalReference r:id="rId10"/>
    <externalReference r:id="rId11"/>
    <externalReference r:id="rId12"/>
  </externalReferences>
  <definedNames>
    <definedName name="Aircon_Ticks">'[1]Raw Data'!$D$7:$D$9</definedName>
    <definedName name="CoolingLoad">'[2]Building Data schedule'!$G$36:$H$46</definedName>
    <definedName name="_xlnm.Print_Area" localSheetId="3">'4. Resilience'!$A$1:$G$69</definedName>
    <definedName name="_xlnm.Print_Area" localSheetId="7">'8. Maintainability'!$A$1:$G$74</definedName>
    <definedName name="Step">'[1]Raw Data'!$D$2:$D$4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9" i="29" l="1"/>
  <c r="F52" i="2"/>
  <c r="D26" i="1"/>
  <c r="D25" i="1"/>
  <c r="D11" i="1"/>
  <c r="H6" i="29"/>
  <c r="H7" i="29"/>
  <c r="H8" i="29"/>
  <c r="H10" i="29"/>
  <c r="H11" i="29"/>
  <c r="H12" i="29"/>
  <c r="H20" i="29"/>
  <c r="H21" i="29"/>
  <c r="H25" i="29"/>
  <c r="H30" i="29"/>
  <c r="H32" i="29"/>
  <c r="H33" i="29"/>
  <c r="H36" i="29"/>
  <c r="H39" i="29" s="1"/>
  <c r="H37" i="29"/>
  <c r="H38" i="29"/>
  <c r="H41" i="29"/>
  <c r="H42" i="29"/>
  <c r="H43" i="29"/>
  <c r="H47" i="29"/>
  <c r="H51" i="29" s="1"/>
  <c r="H44" i="29" s="1"/>
  <c r="H48" i="29"/>
  <c r="H49" i="29"/>
  <c r="H50" i="29"/>
  <c r="H54" i="29"/>
  <c r="H55" i="29"/>
  <c r="H56" i="29"/>
  <c r="H57" i="29"/>
  <c r="H60" i="29"/>
  <c r="H61" i="29"/>
  <c r="H65" i="29"/>
  <c r="H66" i="29"/>
  <c r="H67" i="29"/>
  <c r="H68" i="29"/>
  <c r="H71" i="29"/>
  <c r="H72" i="29" s="1"/>
  <c r="H76" i="29"/>
  <c r="H78" i="29" s="1"/>
  <c r="H77" i="29"/>
  <c r="H80" i="29"/>
  <c r="H81" i="29"/>
  <c r="H84" i="29"/>
  <c r="H85" i="29"/>
  <c r="H88" i="29"/>
  <c r="H91" i="29" s="1"/>
  <c r="H89" i="29"/>
  <c r="H90" i="29"/>
  <c r="H94" i="29"/>
  <c r="H92" i="29" s="1"/>
  <c r="H95" i="29"/>
  <c r="H48" i="3"/>
  <c r="G21" i="26"/>
  <c r="H34" i="29" l="1"/>
  <c r="H3" i="29" s="1"/>
  <c r="D24" i="1" s="1"/>
  <c r="H69" i="29"/>
  <c r="F15" i="16"/>
  <c r="F14" i="16"/>
  <c r="F55" i="16"/>
  <c r="F54" i="16"/>
  <c r="F51" i="16"/>
  <c r="F52" i="16" s="1"/>
  <c r="H2" i="29" l="1"/>
  <c r="C10" i="1" s="1"/>
  <c r="F60" i="16"/>
  <c r="F44" i="16"/>
  <c r="F38" i="16"/>
  <c r="F39" i="16"/>
  <c r="F37" i="16"/>
  <c r="F33" i="16"/>
  <c r="F34" i="16" s="1"/>
  <c r="F40" i="16"/>
  <c r="F30" i="16"/>
  <c r="F29" i="16"/>
  <c r="F28" i="16"/>
  <c r="F24" i="16"/>
  <c r="F18" i="16"/>
  <c r="F17" i="16"/>
  <c r="F57" i="2"/>
  <c r="F32" i="2" l="1"/>
  <c r="H53" i="3"/>
  <c r="H28" i="3"/>
  <c r="H27" i="3"/>
  <c r="H29" i="3" s="1"/>
  <c r="K62" i="26" l="1"/>
  <c r="M62" i="26" s="1"/>
  <c r="C53" i="26"/>
  <c r="C44" i="26"/>
  <c r="K39" i="26"/>
  <c r="M39" i="26" s="1"/>
  <c r="K38" i="26"/>
  <c r="M38" i="26" s="1"/>
  <c r="C37" i="26"/>
  <c r="K69" i="26"/>
  <c r="M69" i="26" s="1"/>
  <c r="K8" i="26"/>
  <c r="M8" i="26" s="1"/>
  <c r="J74" i="26"/>
  <c r="C33" i="26"/>
  <c r="C58" i="26"/>
  <c r="C52" i="26"/>
  <c r="K61" i="26"/>
  <c r="M61" i="26" s="1"/>
  <c r="H67" i="3"/>
  <c r="H66" i="3"/>
  <c r="H65" i="3"/>
  <c r="I32" i="2"/>
  <c r="J32" i="2" s="1"/>
  <c r="I33" i="2"/>
  <c r="I34" i="2"/>
  <c r="J34" i="2" s="1"/>
  <c r="K72" i="26"/>
  <c r="M72" i="26" s="1"/>
  <c r="K66" i="26"/>
  <c r="M66" i="26" s="1"/>
  <c r="K58" i="26"/>
  <c r="M58" i="26" s="1"/>
  <c r="K54" i="26"/>
  <c r="M54" i="26" s="1"/>
  <c r="K53" i="26"/>
  <c r="M53" i="26" s="1"/>
  <c r="K46" i="26"/>
  <c r="M46" i="26" s="1"/>
  <c r="K45" i="26"/>
  <c r="M45" i="26" s="1"/>
  <c r="K44" i="26"/>
  <c r="M44" i="26" s="1"/>
  <c r="K43" i="26"/>
  <c r="M43" i="26" s="1"/>
  <c r="K40" i="26"/>
  <c r="M40" i="26" s="1"/>
  <c r="K37" i="26"/>
  <c r="M37" i="26" s="1"/>
  <c r="K34" i="26"/>
  <c r="M34" i="26" s="1"/>
  <c r="K33" i="26"/>
  <c r="M33" i="26" s="1"/>
  <c r="K32" i="26"/>
  <c r="M32" i="26" s="1"/>
  <c r="K19" i="26"/>
  <c r="M19" i="26" s="1"/>
  <c r="K18" i="26"/>
  <c r="M18" i="26" s="1"/>
  <c r="B9" i="26"/>
  <c r="C66" i="26"/>
  <c r="C65" i="26"/>
  <c r="C63" i="26"/>
  <c r="B63" i="26"/>
  <c r="C62" i="26"/>
  <c r="B62" i="26"/>
  <c r="C61" i="26"/>
  <c r="B61" i="26"/>
  <c r="C60" i="26"/>
  <c r="B60" i="26"/>
  <c r="A59" i="26"/>
  <c r="B58" i="26"/>
  <c r="B57" i="26"/>
  <c r="A56" i="26"/>
  <c r="C54" i="26"/>
  <c r="B54" i="26"/>
  <c r="B53" i="26"/>
  <c r="B52" i="26"/>
  <c r="B51" i="26"/>
  <c r="C49" i="26"/>
  <c r="B49" i="26"/>
  <c r="B48" i="26"/>
  <c r="C46" i="26"/>
  <c r="B46" i="26"/>
  <c r="C45" i="26"/>
  <c r="B45" i="26"/>
  <c r="B44" i="26"/>
  <c r="C43" i="26"/>
  <c r="B43" i="26"/>
  <c r="B42" i="26"/>
  <c r="C40" i="26"/>
  <c r="B40" i="26"/>
  <c r="C39" i="26"/>
  <c r="B39" i="26"/>
  <c r="C38" i="26"/>
  <c r="B38" i="26"/>
  <c r="B37" i="26"/>
  <c r="B36" i="26"/>
  <c r="C34" i="26"/>
  <c r="B34" i="26"/>
  <c r="B33" i="26"/>
  <c r="C32" i="26"/>
  <c r="B32" i="26"/>
  <c r="C31" i="26"/>
  <c r="B31" i="26"/>
  <c r="A30" i="26"/>
  <c r="C29" i="26"/>
  <c r="B29" i="26"/>
  <c r="B28" i="26"/>
  <c r="A27" i="26"/>
  <c r="C25" i="26"/>
  <c r="B25" i="26"/>
  <c r="C24" i="26"/>
  <c r="B24" i="26"/>
  <c r="C23" i="26"/>
  <c r="B23" i="26"/>
  <c r="B22" i="26"/>
  <c r="C20" i="26"/>
  <c r="B20" i="26"/>
  <c r="C19" i="26"/>
  <c r="B19" i="26"/>
  <c r="C18" i="26"/>
  <c r="B18" i="26"/>
  <c r="A17" i="26"/>
  <c r="B16" i="26"/>
  <c r="B15" i="26"/>
  <c r="C14" i="26"/>
  <c r="B14" i="26"/>
  <c r="C13" i="26"/>
  <c r="A13" i="26"/>
  <c r="B12" i="26"/>
  <c r="A11" i="26"/>
  <c r="C9" i="26"/>
  <c r="C8" i="26"/>
  <c r="G64" i="26"/>
  <c r="G59" i="26"/>
  <c r="G56" i="26"/>
  <c r="G41" i="26"/>
  <c r="G50" i="26"/>
  <c r="G47" i="26"/>
  <c r="G35" i="26"/>
  <c r="G30" i="26"/>
  <c r="G27" i="26"/>
  <c r="G17" i="26"/>
  <c r="G13" i="26"/>
  <c r="G11" i="26"/>
  <c r="G8" i="26"/>
  <c r="C72" i="26" l="1"/>
  <c r="J72" i="26" s="1"/>
  <c r="E44" i="26"/>
  <c r="E32" i="26"/>
  <c r="K65" i="26"/>
  <c r="K9" i="26"/>
  <c r="M9" i="26" s="1"/>
  <c r="E62" i="26"/>
  <c r="E39" i="26"/>
  <c r="C17" i="26"/>
  <c r="K25" i="26"/>
  <c r="M25" i="26" s="1"/>
  <c r="C30" i="26"/>
  <c r="K49" i="26"/>
  <c r="M49" i="26" s="1"/>
  <c r="K52" i="26"/>
  <c r="M52" i="26" s="1"/>
  <c r="K22" i="26"/>
  <c r="M22" i="26" s="1"/>
  <c r="K17" i="26"/>
  <c r="M17" i="26" s="1"/>
  <c r="C59" i="26"/>
  <c r="K63" i="26"/>
  <c r="M63" i="26" s="1"/>
  <c r="C21" i="26"/>
  <c r="K23" i="26"/>
  <c r="M23" i="26" s="1"/>
  <c r="K24" i="26"/>
  <c r="M24" i="26" s="1"/>
  <c r="K29" i="26"/>
  <c r="M29" i="26" s="1"/>
  <c r="C12" i="26"/>
  <c r="E66" i="26"/>
  <c r="E58" i="26"/>
  <c r="K48" i="26"/>
  <c r="M48" i="26" s="1"/>
  <c r="E40" i="26"/>
  <c r="E37" i="26"/>
  <c r="C69" i="26"/>
  <c r="E33" i="26"/>
  <c r="E53" i="26"/>
  <c r="E45" i="26"/>
  <c r="E54" i="26"/>
  <c r="E43" i="26"/>
  <c r="E46" i="26"/>
  <c r="E34" i="26"/>
  <c r="G55" i="26"/>
  <c r="G26" i="26"/>
  <c r="G10" i="26"/>
  <c r="K64" i="26" l="1"/>
  <c r="M65" i="26"/>
  <c r="E65" i="26" s="1"/>
  <c r="E23" i="26"/>
  <c r="E63" i="26"/>
  <c r="E52" i="26"/>
  <c r="C41" i="26"/>
  <c r="C42" i="26"/>
  <c r="C27" i="26"/>
  <c r="C28" i="26"/>
  <c r="K41" i="26"/>
  <c r="M41" i="26" s="1"/>
  <c r="K42" i="26"/>
  <c r="M42" i="26" s="1"/>
  <c r="K11" i="26"/>
  <c r="M11" i="26" s="1"/>
  <c r="K12" i="26"/>
  <c r="M12" i="26" s="1"/>
  <c r="K35" i="26"/>
  <c r="M35" i="26" s="1"/>
  <c r="K36" i="26"/>
  <c r="M36" i="26" s="1"/>
  <c r="E25" i="26"/>
  <c r="K20" i="26"/>
  <c r="M20" i="26" s="1"/>
  <c r="K59" i="26"/>
  <c r="M59" i="26" s="1"/>
  <c r="K60" i="26"/>
  <c r="C10" i="26"/>
  <c r="C11" i="26"/>
  <c r="K56" i="26"/>
  <c r="M56" i="26" s="1"/>
  <c r="K57" i="26"/>
  <c r="M57" i="26" s="1"/>
  <c r="C35" i="26"/>
  <c r="C36" i="26"/>
  <c r="C50" i="26"/>
  <c r="C51" i="26"/>
  <c r="C57" i="26"/>
  <c r="C22" i="26"/>
  <c r="C47" i="26"/>
  <c r="C48" i="26"/>
  <c r="K68" i="26"/>
  <c r="M68" i="26" s="1"/>
  <c r="K47" i="26"/>
  <c r="M47" i="26" s="1"/>
  <c r="K21" i="26"/>
  <c r="M21" i="26" s="1"/>
  <c r="K55" i="26"/>
  <c r="M55" i="26" s="1"/>
  <c r="K14" i="26"/>
  <c r="M14" i="26" s="1"/>
  <c r="K50" i="26"/>
  <c r="M50" i="26" s="1"/>
  <c r="K51" i="26"/>
  <c r="M51" i="26" s="1"/>
  <c r="E19" i="26"/>
  <c r="E38" i="26"/>
  <c r="E8" i="26"/>
  <c r="E9" i="26"/>
  <c r="E29" i="26"/>
  <c r="E48" i="26"/>
  <c r="E61" i="26"/>
  <c r="E17" i="26"/>
  <c r="E18" i="26"/>
  <c r="J70" i="26"/>
  <c r="M64" i="26" l="1"/>
  <c r="E64" i="26" s="1"/>
  <c r="M60" i="26"/>
  <c r="E60" i="26" s="1"/>
  <c r="E20" i="26"/>
  <c r="E50" i="26"/>
  <c r="E56" i="26"/>
  <c r="E59" i="26"/>
  <c r="E57" i="26"/>
  <c r="C55" i="26"/>
  <c r="C56" i="26"/>
  <c r="E41" i="26"/>
  <c r="C7" i="26"/>
  <c r="B32" i="1" s="1"/>
  <c r="C26" i="26"/>
  <c r="K30" i="26"/>
  <c r="K31" i="26"/>
  <c r="M31" i="26" s="1"/>
  <c r="K10" i="26"/>
  <c r="M10" i="26" s="1"/>
  <c r="K13" i="26"/>
  <c r="M13" i="26" s="1"/>
  <c r="K28" i="26"/>
  <c r="M28" i="26" s="1"/>
  <c r="E51" i="26"/>
  <c r="C68" i="26"/>
  <c r="E55" i="26"/>
  <c r="E42" i="26"/>
  <c r="E47" i="26"/>
  <c r="E49" i="26"/>
  <c r="E11" i="26"/>
  <c r="E21" i="26"/>
  <c r="E24" i="26"/>
  <c r="E22" i="26"/>
  <c r="E35" i="26"/>
  <c r="E36" i="26"/>
  <c r="E12" i="26"/>
  <c r="M30" i="26" l="1"/>
  <c r="E30" i="26" s="1"/>
  <c r="E31" i="26"/>
  <c r="K27" i="26"/>
  <c r="M27" i="26" s="1"/>
  <c r="E14" i="26"/>
  <c r="E13" i="26"/>
  <c r="E10" i="26"/>
  <c r="E28" i="26"/>
  <c r="H16" i="3"/>
  <c r="F22" i="2"/>
  <c r="E27" i="26" l="1"/>
  <c r="K26" i="26"/>
  <c r="M26" i="26" s="1"/>
  <c r="E26" i="26" l="1"/>
  <c r="K67" i="26"/>
  <c r="M67" i="26" l="1"/>
  <c r="J67" i="26" s="1"/>
  <c r="C67" i="26" s="1"/>
  <c r="K70" i="26"/>
  <c r="G70" i="26" l="1"/>
  <c r="G69" i="26"/>
  <c r="M70" i="26"/>
  <c r="E70" i="26" s="1"/>
  <c r="K73" i="26"/>
  <c r="K71" i="26"/>
  <c r="G71" i="26" l="1"/>
  <c r="M73" i="26"/>
  <c r="J73" i="26" s="1"/>
  <c r="M71" i="26"/>
  <c r="E71" i="26" s="1"/>
  <c r="F19" i="16"/>
  <c r="F20" i="16" s="1"/>
  <c r="C32" i="1" l="1"/>
  <c r="C73" i="26"/>
  <c r="C74" i="26" s="1"/>
  <c r="D12" i="1" s="1"/>
  <c r="H78" i="3"/>
  <c r="H79" i="3" s="1"/>
  <c r="H61" i="3"/>
  <c r="H59" i="3"/>
  <c r="H18" i="3"/>
  <c r="F16" i="2"/>
  <c r="F46" i="2"/>
  <c r="F45" i="2"/>
  <c r="F27" i="2"/>
  <c r="F14" i="2"/>
  <c r="F13" i="2"/>
  <c r="F12" i="2"/>
  <c r="F11" i="2"/>
  <c r="D32" i="1" l="1"/>
  <c r="C12" i="1" s="1"/>
  <c r="H51" i="3"/>
  <c r="H75" i="3" l="1"/>
  <c r="H74" i="3"/>
  <c r="H71" i="3"/>
  <c r="H34" i="3"/>
  <c r="H42" i="3"/>
  <c r="H57" i="3" l="1"/>
  <c r="F48" i="16"/>
  <c r="F45" i="16"/>
  <c r="F46" i="16" s="1"/>
  <c r="F31" i="16"/>
  <c r="F25" i="16"/>
  <c r="F23" i="16"/>
  <c r="F5" i="16"/>
  <c r="F9" i="16"/>
  <c r="F64" i="16"/>
  <c r="F63" i="16"/>
  <c r="F61" i="16" s="1"/>
  <c r="F26" i="16" l="1"/>
  <c r="F41" i="16"/>
  <c r="F10" i="16"/>
  <c r="F49" i="16"/>
  <c r="F35" i="16" l="1"/>
  <c r="D29" i="1" s="1"/>
  <c r="F21" i="16"/>
  <c r="D28" i="1" s="1"/>
  <c r="F3" i="16"/>
  <c r="F2" i="16" l="1"/>
  <c r="C11" i="1" s="1"/>
  <c r="D27" i="1"/>
  <c r="D10" i="1" l="1"/>
  <c r="H25" i="3"/>
  <c r="H62" i="3"/>
  <c r="H68" i="3"/>
  <c r="H30" i="3" s="1"/>
  <c r="H72" i="3"/>
  <c r="H76" i="3"/>
  <c r="H83" i="3"/>
  <c r="H82" i="3"/>
  <c r="H69" i="3" l="1"/>
  <c r="D23" i="1" s="1"/>
  <c r="D22" i="1"/>
  <c r="H80" i="3"/>
  <c r="H3" i="3"/>
  <c r="F6" i="2"/>
  <c r="F7" i="2"/>
  <c r="F19" i="2"/>
  <c r="F20" i="2" s="1"/>
  <c r="F23" i="2"/>
  <c r="F69" i="2"/>
  <c r="F68" i="2"/>
  <c r="F64" i="2"/>
  <c r="F63" i="2"/>
  <c r="F59" i="2"/>
  <c r="F58" i="2"/>
  <c r="F50" i="2"/>
  <c r="F53" i="2" s="1"/>
  <c r="F44" i="2"/>
  <c r="F43" i="2"/>
  <c r="F47" i="2" s="1"/>
  <c r="F38" i="2"/>
  <c r="F37" i="2"/>
  <c r="F34" i="2" l="1"/>
  <c r="F35" i="2" s="1"/>
  <c r="D21" i="1"/>
  <c r="H2" i="3"/>
  <c r="C9" i="1" s="1"/>
  <c r="D9" i="1" s="1"/>
  <c r="F66" i="2"/>
  <c r="F8" i="2"/>
  <c r="F3" i="2" s="1"/>
  <c r="F39" i="2"/>
  <c r="F65" i="2"/>
  <c r="F60" i="2"/>
  <c r="F54" i="2" l="1"/>
  <c r="D20" i="1" s="1"/>
  <c r="D18" i="1"/>
  <c r="F28" i="2"/>
  <c r="D19" i="1" s="1"/>
  <c r="F2" i="2" l="1"/>
  <c r="C8" i="1" s="1"/>
  <c r="D8" i="1" s="1"/>
  <c r="C13" i="1" l="1"/>
</calcChain>
</file>

<file path=xl/sharedStrings.xml><?xml version="1.0" encoding="utf-8"?>
<sst xmlns="http://schemas.openxmlformats.org/spreadsheetml/2006/main" count="936" uniqueCount="537">
  <si>
    <t>GM: 2021 - Existing Non-Residential Buildings</t>
  </si>
  <si>
    <t>Project Details</t>
  </si>
  <si>
    <t>Possible inputs</t>
  </si>
  <si>
    <t>GM Reference No</t>
  </si>
  <si>
    <t>Building name</t>
  </si>
  <si>
    <t>Type of Building</t>
  </si>
  <si>
    <t>Office / Retail / Hotel / Mixed Office + Retail</t>
  </si>
  <si>
    <r>
      <t>GFA (m</t>
    </r>
    <r>
      <rPr>
        <vertAlign val="superscript"/>
        <sz val="11"/>
        <color theme="1"/>
        <rFont val="Arial"/>
        <family val="2"/>
      </rPr>
      <t>2</t>
    </r>
    <r>
      <rPr>
        <sz val="11"/>
        <color theme="1"/>
        <rFont val="Arial"/>
        <family val="2"/>
      </rPr>
      <t>)</t>
    </r>
  </si>
  <si>
    <r>
      <t>Carpark Area (m</t>
    </r>
    <r>
      <rPr>
        <vertAlign val="superscript"/>
        <sz val="11"/>
        <color theme="1"/>
        <rFont val="Arial"/>
        <family val="2"/>
      </rPr>
      <t>2</t>
    </r>
    <r>
      <rPr>
        <sz val="11"/>
        <color theme="1"/>
        <rFont val="Arial"/>
        <family val="2"/>
      </rPr>
      <t>)</t>
    </r>
  </si>
  <si>
    <r>
      <t>Air-conditioned Area (m</t>
    </r>
    <r>
      <rPr>
        <vertAlign val="superscript"/>
        <sz val="11"/>
        <color theme="1"/>
        <rFont val="Arial"/>
        <family val="2"/>
      </rPr>
      <t>2</t>
    </r>
    <r>
      <rPr>
        <sz val="11"/>
        <color theme="1"/>
        <rFont val="Arial"/>
        <family val="2"/>
      </rPr>
      <t>)</t>
    </r>
  </si>
  <si>
    <t>Building Key Performance Data:</t>
  </si>
  <si>
    <t>Type of Aircon system</t>
  </si>
  <si>
    <t>Central Water-cooled Chiller Plant / VRF System / Unitary System</t>
  </si>
  <si>
    <t>Building cooling load (RT)</t>
  </si>
  <si>
    <t>Chiller configuration (e.g. 3 nos. x 500RT)</t>
  </si>
  <si>
    <t>Cooling load / aircon area (W/m2)</t>
  </si>
  <si>
    <t>Air Distribution system efficiency (kW/RT)</t>
  </si>
  <si>
    <t>Total System Efficiency, TSE (kW/RT)</t>
  </si>
  <si>
    <t>Total Building Energy consumption (kWh/yr)</t>
  </si>
  <si>
    <t>EUI (kWh/m2/yr)</t>
  </si>
  <si>
    <t>Reason for Certification</t>
  </si>
  <si>
    <t>GM 2021 ScoreCard</t>
  </si>
  <si>
    <t>GM Ref No.</t>
  </si>
  <si>
    <t>Project Name:</t>
  </si>
  <si>
    <t>Revision:</t>
  </si>
  <si>
    <t>SUMMARY</t>
  </si>
  <si>
    <t>MAX POINTS</t>
  </si>
  <si>
    <t>SCORING POINTS</t>
  </si>
  <si>
    <t>BADGE</t>
  </si>
  <si>
    <t>REMARKS</t>
  </si>
  <si>
    <t>Resilience</t>
  </si>
  <si>
    <t>Whole Life Carbon</t>
  </si>
  <si>
    <t>Health&amp;Wellbeing</t>
  </si>
  <si>
    <t>Intelligence</t>
  </si>
  <si>
    <t>Maintainability</t>
  </si>
  <si>
    <t>TOTAL</t>
  </si>
  <si>
    <t>CRITERIA</t>
  </si>
  <si>
    <t>Re1</t>
  </si>
  <si>
    <t>Protect</t>
  </si>
  <si>
    <t>Re2</t>
  </si>
  <si>
    <t>Manage</t>
  </si>
  <si>
    <t>Re3</t>
  </si>
  <si>
    <t>Restore</t>
  </si>
  <si>
    <t>Cn1</t>
  </si>
  <si>
    <t>Carbon</t>
  </si>
  <si>
    <t>Cn2</t>
  </si>
  <si>
    <t>Construction</t>
  </si>
  <si>
    <t>Cn3</t>
  </si>
  <si>
    <t>Fit Out</t>
  </si>
  <si>
    <t>Hw1</t>
  </si>
  <si>
    <t>Physiological</t>
  </si>
  <si>
    <t>Hw2</t>
  </si>
  <si>
    <t>Psychological</t>
  </si>
  <si>
    <t>Hw3</t>
  </si>
  <si>
    <t>Sociological</t>
  </si>
  <si>
    <t>In1</t>
  </si>
  <si>
    <t>Integrated</t>
  </si>
  <si>
    <t>In2</t>
  </si>
  <si>
    <t>Data Driven</t>
  </si>
  <si>
    <t>In3</t>
  </si>
  <si>
    <t>Responsive</t>
  </si>
  <si>
    <t>Max Maintainability Points</t>
  </si>
  <si>
    <t>MAINTAINABILITY POINTS SCORED</t>
  </si>
  <si>
    <t>CORRESPONDING GM SCORE</t>
  </si>
  <si>
    <t>CRITERIA FOR ENERGY EFFICIENCY SECTION</t>
  </si>
  <si>
    <t>Data Input</t>
  </si>
  <si>
    <t>Input Required</t>
  </si>
  <si>
    <t>Remarks</t>
  </si>
  <si>
    <t>ENERGY EFFICIENCY</t>
  </si>
  <si>
    <t>Building supplied by District Cooling System?</t>
  </si>
  <si>
    <t>Y/N</t>
  </si>
  <si>
    <t>PATHWAY 1 - EUI</t>
  </si>
  <si>
    <t>Energy Usage Intensity</t>
  </si>
  <si>
    <t>Input (#)</t>
  </si>
  <si>
    <t>PATHWAY 2 - FIXED METRICS</t>
  </si>
  <si>
    <t>(i)</t>
  </si>
  <si>
    <t>Reduced Heat Gain (ETTV)</t>
  </si>
  <si>
    <t>(ii)</t>
  </si>
  <si>
    <t>Non AC Areas</t>
  </si>
  <si>
    <t>Input (%)</t>
  </si>
  <si>
    <t>(iii)</t>
  </si>
  <si>
    <t>a) ACMV TSE</t>
  </si>
  <si>
    <t>b) ACMV (Unitary)</t>
  </si>
  <si>
    <t>Three Phase (no. of ticks)</t>
  </si>
  <si>
    <t>Single Phase (no. of ticks)</t>
  </si>
  <si>
    <t>(iv)</t>
  </si>
  <si>
    <t>Lighting Power Budget</t>
  </si>
  <si>
    <t>(v)</t>
  </si>
  <si>
    <t xml:space="preserve">Mechanical Ventilation </t>
  </si>
  <si>
    <t>(vi)</t>
  </si>
  <si>
    <t>Integrated Energy Management &amp; control Systems</t>
  </si>
  <si>
    <t>a) Lighting controls provided in accordance with SS 530: 2014 Code of Practice for Energy Efficiency Standard for Building Services and Equipment.</t>
  </si>
  <si>
    <t>b) Energy consumption monitoring and benchmarking system</t>
  </si>
  <si>
    <t>c) Automatic controls for the air-conditioning system to respond to  periods of non-use, or reduced heat load.</t>
  </si>
  <si>
    <t>d) A control device shall be installed in every guestroom for the purpose of automatically switching off the lighting and reducing the air conditioning loads when a guestroom is not occupied.</t>
  </si>
  <si>
    <t>(vii)</t>
  </si>
  <si>
    <r>
      <t xml:space="preserve">On-Site Renewables - </t>
    </r>
    <r>
      <rPr>
        <i/>
        <sz val="12"/>
        <color theme="1"/>
        <rFont val="Calibri"/>
        <family val="2"/>
        <scheme val="minor"/>
      </rPr>
      <t>replacement to make up any deficiencies from the above list, with safety factor</t>
    </r>
  </si>
  <si>
    <t>(viii)</t>
  </si>
  <si>
    <r>
      <t xml:space="preserve">Air side efficiency (kW/RT)
</t>
    </r>
    <r>
      <rPr>
        <i/>
        <sz val="12"/>
        <color theme="1"/>
        <rFont val="Calibri"/>
        <family val="2"/>
        <scheme val="minor"/>
      </rPr>
      <t>(for buildings with DCS)</t>
    </r>
  </si>
  <si>
    <t>PATHWAY 3 - ENERGY SAVINGS</t>
  </si>
  <si>
    <t>Saving from BAU (2005 Code)</t>
  </si>
  <si>
    <t>Saving from Current Reference (2005 Code)</t>
  </si>
  <si>
    <t>CRITERIA FOR RESILIENCE SECTION</t>
  </si>
  <si>
    <t>Available points for Existing Buildings</t>
  </si>
  <si>
    <t>Points Scored</t>
  </si>
  <si>
    <t>-</t>
  </si>
  <si>
    <t xml:space="preserve">RE1 </t>
  </si>
  <si>
    <t>PROTECT</t>
  </si>
  <si>
    <t xml:space="preserve">RE1.1 </t>
  </si>
  <si>
    <t xml:space="preserve">Conservation </t>
  </si>
  <si>
    <t xml:space="preserve">RE1.1a </t>
  </si>
  <si>
    <t>Habitat and Ecology</t>
  </si>
  <si>
    <t>Comprehensive EIA to identify design measures to mitigate negative impacts (climate change &amp; ecological systems) to site environment.</t>
  </si>
  <si>
    <t>1 point</t>
  </si>
  <si>
    <t>Implementation plan that outlines key actions to maintain the ecological integrity of biodiversity on the site or the implementation of these mitigation measures.</t>
  </si>
  <si>
    <t>SUB-TOTAL FOR RE 1.1 a</t>
  </si>
  <si>
    <t>RE1.1b</t>
  </si>
  <si>
    <t>Resources</t>
  </si>
  <si>
    <t>Establishing and adopting Sustainable Policies and Action Plans for continuous improvements:-</t>
  </si>
  <si>
    <t>a) Energy Management Policy and Energy Improvement Plan</t>
  </si>
  <si>
    <t>b) Water Management Policy and Water Improvement Plan</t>
  </si>
  <si>
    <t>c) Waste Management Policy &amp; 3R Plan</t>
  </si>
  <si>
    <t>a) Achieved PUB Water Efficient Building certification?  
OR 
b) PUB WELS 3-ticks rating for 90% of all relevant water fittings.</t>
  </si>
  <si>
    <t>0.5 point for (a)
1 point for (b)</t>
  </si>
  <si>
    <t>SUB-TOTAL FOR RE 1.1 b (Max 3 points)</t>
  </si>
  <si>
    <t>RE1.2</t>
  </si>
  <si>
    <t>Urban Heat Island (UHI)</t>
  </si>
  <si>
    <t>RE1.2a</t>
  </si>
  <si>
    <t>Outdoor Thermal Comfort</t>
  </si>
  <si>
    <t xml:space="preserve">Use of Environmental modelling of the site to mitigate the Urban Heat Island (UHI) effects by identifying and implementing interventions to improve outdoor thermal comfort and reduce UHI effects.
Model shall show one of the following results: 
•	Physiological Equivalent Temperature (PET) of ≤34oC
•	Universal Thermal Climate Index (UTCI) of ≤32oC 
•	TSV &lt;+2  </t>
  </si>
  <si>
    <t>2 points</t>
  </si>
  <si>
    <t xml:space="preserve">SUB-TOTAL FOR RE 1.2 a </t>
  </si>
  <si>
    <t>RE1.2b</t>
  </si>
  <si>
    <t>Urban Heat Island Mitigation</t>
  </si>
  <si>
    <t>To demonstrate the UHI mitigation measures via the site coverage at plan view:-
a) ≥ 50% demonstrating mitigation measures (0.5 pt)
b) ≥ 80% demonstrating mitigation measures (1 pt)</t>
  </si>
  <si>
    <t>0.5 points for (a) 
1 point for (b)</t>
  </si>
  <si>
    <t>SUB-TOTAL FOR RE 1.2 b</t>
  </si>
  <si>
    <t>RE1.3</t>
  </si>
  <si>
    <t>Contextual Response</t>
  </si>
  <si>
    <t>Response to Site Context</t>
  </si>
  <si>
    <t>Site analysis, simulation and studies to demonstrate how site topography, microclimate, access &amp; connectivity has informed the development of building design.</t>
  </si>
  <si>
    <t>N.A.</t>
  </si>
  <si>
    <t xml:space="preserve">SUB-TOTAL FOR RE 1.3 </t>
  </si>
  <si>
    <t>RE2</t>
  </si>
  <si>
    <t>MANAGE</t>
  </si>
  <si>
    <t>RE2.1</t>
  </si>
  <si>
    <t>Leadership</t>
  </si>
  <si>
    <t>RE2.1a</t>
  </si>
  <si>
    <t>Project Team</t>
  </si>
  <si>
    <t>G</t>
  </si>
  <si>
    <t>Appointment of accredited environmentalist specialists to drive and coordinate the environmental design approach.</t>
  </si>
  <si>
    <t>Sub-total</t>
  </si>
  <si>
    <t>No. of Certified GM AP</t>
  </si>
  <si>
    <t>0.5 pts/GM AP &amp; 0.5 pts /GM AAP 
(Capped at 1 pt)</t>
  </si>
  <si>
    <t>Max 0.5 pt</t>
  </si>
  <si>
    <t>No. of Certified GM AAP</t>
  </si>
  <si>
    <t>No. of firms certified under SGBC's SGBS certification or SIFMA's CFMC accreditation scheme.</t>
  </si>
  <si>
    <t>0.25 pts/firm 
(Capped at 0.5 pts)</t>
  </si>
  <si>
    <t>SUB-TOTAL FOR RE 2.1 a (Max 1 point)</t>
  </si>
  <si>
    <t>RE2.1b</t>
  </si>
  <si>
    <t>Procurement</t>
  </si>
  <si>
    <r>
      <t xml:space="preserve">Adoption of Sustainable or Green Procurement Policy for:-
- </t>
    </r>
    <r>
      <rPr>
        <b/>
        <sz val="12"/>
        <color theme="1"/>
        <rFont val="Calibri"/>
        <family val="2"/>
        <scheme val="minor"/>
      </rPr>
      <t>Existing Non-Residential Buildings</t>
    </r>
  </si>
  <si>
    <r>
      <t xml:space="preserve">Adoption of Energy Performance Contract (EPC) by accredited EPC firm for 
- </t>
    </r>
    <r>
      <rPr>
        <b/>
        <sz val="12"/>
        <color theme="1"/>
        <rFont val="Calibri"/>
        <family val="2"/>
        <scheme val="minor"/>
      </rPr>
      <t>Existing Non-Residential Buildings.</t>
    </r>
  </si>
  <si>
    <t>SUB-TOTAL FOR RE 2.1 b</t>
  </si>
  <si>
    <t>RE2.2</t>
  </si>
  <si>
    <t>Circularity</t>
  </si>
  <si>
    <t xml:space="preserve">Tackling the 3 priority waste streams and adopting circular economic approach to close resource loops. </t>
  </si>
  <si>
    <t>Provision of dedicated recycling facilities and receptacles for:-</t>
  </si>
  <si>
    <t>(a) E-waste, in collaboration with PRS Operator</t>
  </si>
  <si>
    <t>0.5 point</t>
  </si>
  <si>
    <t>(b) Packaging waste including beverage containers</t>
  </si>
  <si>
    <t>Food waste system - Provision of proper segregation, pre-treatment and on-site treatment or direct conveyance for off-site treatment.</t>
  </si>
  <si>
    <t>Waste audit &amp; engagement:-
a) Conduct annual waste audit to identify areas of wastage
b) Conduct waste management/3R training for staff/tenants/cleaners at least  twice a year</t>
  </si>
  <si>
    <t>SUB-TOTAL FOR RE 2.2</t>
  </si>
  <si>
    <t>RE2.3</t>
  </si>
  <si>
    <t>Resilence Strategy</t>
  </si>
  <si>
    <t>Provision of a comprehensive project specific climate change risk and adaptation assessment.</t>
  </si>
  <si>
    <t xml:space="preserve">Use scenario analysis for assessment of climate-related risks and opportunities </t>
  </si>
  <si>
    <t>Conceptualise environmental sustainability targets and design approaches in project brief to mitigate climate-related risks (for new buildings)</t>
  </si>
  <si>
    <t>Develop action plan to be climate-resilient through current or future design and operational interventions (for existing buildings)</t>
  </si>
  <si>
    <t>SUB-TOTAL FOR RE 2.3</t>
  </si>
  <si>
    <t>RE3</t>
  </si>
  <si>
    <t>RESTORE</t>
  </si>
  <si>
    <t>RE3.1</t>
  </si>
  <si>
    <t>Buildings In Nature</t>
  </si>
  <si>
    <t>Improving the ecology and quality of the natural environment on site through well-considered planting strategy.</t>
  </si>
  <si>
    <t>Greenery provision (GnPR shall be &gt;3 for Existing Buildings)</t>
  </si>
  <si>
    <t>Provision of diverse plant species with &gt; 50% to be native to Southeast Asia</t>
  </si>
  <si>
    <t>Provision of 'wild landscape areas' (10% of site area) for long grasses, shrubs flowering plants and nesting trees to provide habitat for local species</t>
  </si>
  <si>
    <t>SUB-TOTAL FOR RE 3.1</t>
  </si>
  <si>
    <t>RE3.2</t>
  </si>
  <si>
    <t>Natural Climate Solutions</t>
  </si>
  <si>
    <t>Adoption of Natural Climate Solutions (NCS) or Nature-based solutions to harness natural processes to reduce or remove greenhouse gases for climate mitigation.</t>
  </si>
  <si>
    <t>Restoration of ecology equivalent to the development's GFA, through either or a combination of:- 
(a) Reforestation programme or 
(b) Marine  /Aquatic ecosystem restoration programme</t>
  </si>
  <si>
    <t>Investment, production or purchase of nature  based credits including blue carbon, REDD+ and RIL-C equivalent to the estimated carbon impact of the construction / retrofit and normal operation of the development over a 10 years period.</t>
  </si>
  <si>
    <t>SUB-TOTAL FOR RE 3.2</t>
  </si>
  <si>
    <t>RESILIENCE INNOVATION</t>
  </si>
  <si>
    <t xml:space="preserve">Projects can innovate to go above and beyond to attain exceptional Resilience outcomes as intended in one or more criterion or demonstrate unique solutions to enhance other aspects of resilience not specified in the criteria. Innovations will be considered on a case by case basis. Points shall be awarded based on the strength of evidence of benefits and potential impact. </t>
  </si>
  <si>
    <t>Capped at 2 points</t>
  </si>
  <si>
    <t>In the Remarks column, please provide the evidence of benefits &amp; potential impact of your Innovation:-</t>
  </si>
  <si>
    <t>Points shall be awarded based on the strength of evidence of benefits and potential impact.  
Please do a self scoring for each Innovation &amp; input either 0.5, 1, 1.5 &amp; 2 points.
(Capped at 2 points)</t>
  </si>
  <si>
    <t xml:space="preserve">Innovation no. 1:
</t>
  </si>
  <si>
    <t xml:space="preserve">Innovation no. 2:
</t>
  </si>
  <si>
    <t>CRITERIA FOR WHOLE LIFE CARBON SECTION</t>
  </si>
  <si>
    <t>CN1</t>
  </si>
  <si>
    <t>WHOLE LIFE CARBON</t>
  </si>
  <si>
    <t>CN1.1</t>
  </si>
  <si>
    <t>Whole Life Carbon (WLC) Assessment</t>
  </si>
  <si>
    <t xml:space="preserve">Minimum Scope Requirement of WLC Assessment </t>
  </si>
  <si>
    <t>Minimum scope of WLC Assessment</t>
  </si>
  <si>
    <t>Building elements to be included</t>
  </si>
  <si>
    <t>1. Substructure</t>
  </si>
  <si>
    <t>2. Superstructure</t>
  </si>
  <si>
    <t>Lifecycle stages to be included</t>
  </si>
  <si>
    <t>1. Product Stage [A1-A3]</t>
  </si>
  <si>
    <t>2. Construction Stage [A4-A5]</t>
  </si>
  <si>
    <t>3. Maintenance Stage [B2] Façade</t>
  </si>
  <si>
    <t>4. Replacement Stage [B4] ACMV</t>
  </si>
  <si>
    <t>5. Operational Energy [B6]</t>
  </si>
  <si>
    <t>The assessment should cover the development's carbon emissions over its lifetime, accounting for:
• its operational carbon emissions
• its embodied carbon emissions
• any future potential carbon emissions 'benefits', post 'end of life', including benefits from reuse and recycling of building structure and materials</t>
  </si>
  <si>
    <t>SUB-TOTAL FOR CN 1.1a</t>
  </si>
  <si>
    <t>Embodied Carbon Computation</t>
  </si>
  <si>
    <t xml:space="preserve">(i) </t>
  </si>
  <si>
    <t>Input (#) kg CO2e/m2</t>
  </si>
  <si>
    <t xml:space="preserve">(ii) </t>
  </si>
  <si>
    <t>Reference Values
(kgCO2e/m2)</t>
  </si>
  <si>
    <t>Non-Residential</t>
  </si>
  <si>
    <t>Residential</t>
  </si>
  <si>
    <t>Industrial</t>
  </si>
  <si>
    <t>SUB-TOTAL FOR CN 1.1b</t>
  </si>
  <si>
    <t>CN1.2</t>
  </si>
  <si>
    <t>2030 Transition Plan</t>
  </si>
  <si>
    <t>Develop and publish as 2030 Transition Plan that delineates steps to deliver a net zero carbon building from 2030 for the asset under assessment, based on scope 1 and 2 emissions</t>
  </si>
  <si>
    <t>3 points</t>
  </si>
  <si>
    <t>SUB-TOTAL FOR CN 1.2</t>
  </si>
  <si>
    <t>CN2</t>
  </si>
  <si>
    <t>CONSTRUCTION</t>
  </si>
  <si>
    <t>CN2.1</t>
  </si>
  <si>
    <t>Sustainable Construction</t>
  </si>
  <si>
    <t>Use of sustainable construction materials and methods to reduce environmental impacts of the construction phase</t>
  </si>
  <si>
    <t>Design with low CUI</t>
  </si>
  <si>
    <t>CUI</t>
  </si>
  <si>
    <t>≤ 0.35</t>
  </si>
  <si>
    <t>≤ 0.45</t>
  </si>
  <si>
    <t xml:space="preserve">Adoption of Sustainable building systems and Design for Manufacturing and Assembly (DfMA) that minimise resource use and waste, with a view to a greater integration of components and systems. The following can be considered jointly and severally based on % coverage over constructed floor area (CFA).
</t>
  </si>
  <si>
    <t>Adoption of sustainable building system</t>
  </si>
  <si>
    <t>≥ 50% of CFA</t>
  </si>
  <si>
    <t>≥ 55% of CFA</t>
  </si>
  <si>
    <t>a)   Advanced precast concrete system (APCS)</t>
  </si>
  <si>
    <t>b)   Structural Steel</t>
  </si>
  <si>
    <t>c)   Mass Engineered Timber (MET)</t>
  </si>
  <si>
    <t>d)   Prefabricated Prefinished Volumetric Construction (PPVC)</t>
  </si>
  <si>
    <t>e)   Hybrid structural system of: 
      i)   Structural Steel and Precast Concrete; or
      ii)  MET and Structural Steel/ Precast Concrete</t>
  </si>
  <si>
    <t>Use of Low Carbon Concrete certified by SGBC or equivalent local certification bodies (using CEM II – V cements under SS EN 197-1) for ≥80% of applicable superstructure works by volume</t>
  </si>
  <si>
    <t>SGBP 2 ticks/ SGBP 3 ticks/SGBP 4 ticks green building products or equivalent administered by local certification bodies</t>
  </si>
  <si>
    <t>0.25 points / tick</t>
  </si>
  <si>
    <t>Capped at 1 point</t>
  </si>
  <si>
    <r>
      <t>Total concrete use for superstructure (m</t>
    </r>
    <r>
      <rPr>
        <vertAlign val="superscript"/>
        <sz val="12"/>
        <color theme="1"/>
        <rFont val="Calibri"/>
        <family val="2"/>
        <scheme val="minor"/>
      </rPr>
      <t>3</t>
    </r>
    <r>
      <rPr>
        <sz val="12"/>
        <color theme="1"/>
        <rFont val="Calibri"/>
        <family val="2"/>
        <scheme val="minor"/>
      </rPr>
      <t>)</t>
    </r>
  </si>
  <si>
    <t>0.5 points</t>
  </si>
  <si>
    <r>
      <t xml:space="preserve">Replacement level of fine aggregate with WCS used for superstructure </t>
    </r>
    <r>
      <rPr>
        <sz val="12"/>
        <color theme="1"/>
        <rFont val="Calibri"/>
        <family val="2"/>
      </rPr>
      <t>≤</t>
    </r>
    <r>
      <rPr>
        <sz val="12"/>
        <color theme="1"/>
        <rFont val="Calibri"/>
        <family val="2"/>
        <scheme val="minor"/>
      </rPr>
      <t xml:space="preserve"> 10%</t>
    </r>
  </si>
  <si>
    <t>Minimum extent of usage of WCS ≥ 0.75% of GFA</t>
  </si>
  <si>
    <t>Replacement level of fine aggregate with GF used for superstructure ≥ 50%</t>
  </si>
  <si>
    <t>Minimum extent of usage of GF ≥ 1.5% of GFA</t>
  </si>
  <si>
    <t>SUB-TOTAL FOR CN 2.1</t>
  </si>
  <si>
    <t>CN2.2</t>
  </si>
  <si>
    <t>Sustainable Products and Finishes</t>
  </si>
  <si>
    <r>
      <t>≥ 60% (by cost) or ≥ 80% (by areas) of the Architectural and applicable landscaping works are at least SGBP 2 ticks or equivalent administered by local certification bodies</t>
    </r>
    <r>
      <rPr>
        <b/>
        <sz val="12"/>
        <color theme="1"/>
        <rFont val="Calibri"/>
        <family val="2"/>
        <scheme val="minor"/>
      </rPr>
      <t xml:space="preserve">
At least 3 building products/finishes</t>
    </r>
  </si>
  <si>
    <t>Cost/Area</t>
  </si>
  <si>
    <r>
      <t xml:space="preserve">≥ 60% (by cost) of Mechanical, Electrical and Plumbing (MEP) systems are SGBP certified (or equivalent)  administered by local certification bodies
</t>
    </r>
    <r>
      <rPr>
        <b/>
        <sz val="12"/>
        <rFont val="Calibri"/>
        <family val="2"/>
        <scheme val="minor"/>
      </rPr>
      <t>At least 3 MEP systems</t>
    </r>
  </si>
  <si>
    <t>SUB-TOTAL FOR CN 2.2</t>
  </si>
  <si>
    <t>CN2.3</t>
  </si>
  <si>
    <t>Conservation, Resource Recovery and Waste Management</t>
  </si>
  <si>
    <r>
      <t xml:space="preserve">To encourage conservation of existing building structure, recovery of demolished building materials for reuse and/or recycling and waste management
</t>
    </r>
    <r>
      <rPr>
        <i/>
        <sz val="12"/>
        <color theme="1"/>
        <rFont val="Calibri"/>
        <family val="2"/>
        <scheme val="minor"/>
      </rPr>
      <t>(Applicable to existing buildings undergoing major retrofitting work and &gt;30 years old)</t>
    </r>
  </si>
  <si>
    <t>Existing structures are conserved and not demolished</t>
  </si>
  <si>
    <t>Existing structures are demolished with an enhanced demolition protocol, where a recovery ratte of ≥ 40% of crushed concrete waste from demolished building sent to approved recyclers with proper recycling facilities</t>
  </si>
  <si>
    <t xml:space="preserve">(iii) </t>
  </si>
  <si>
    <t>Appointment of environmental specialists during construction stage – The main builder is a BCA Green and Gracious Builder with Merit or above rating and has ISO14001 certification.</t>
  </si>
  <si>
    <t>SUB-TOTAL FOR CN 2.3</t>
  </si>
  <si>
    <t>CN3</t>
  </si>
  <si>
    <t>FIT OUT</t>
  </si>
  <si>
    <t>CN3.1</t>
  </si>
  <si>
    <t>Green Lease</t>
  </si>
  <si>
    <t xml:space="preserve">A comprehensive Green Lease* (or equivalent) to be incorporated into the tenancy agreement, that establishes agreed levels of environmental performance between the landlord and the tenant for:-
(a) ≥ 50% of the net lettable area  
(b) ≥ 70% of the net lettable area  
(c) Every tenant </t>
  </si>
  <si>
    <t xml:space="preserve">1 point for (a)
2 points for (b)
3 points for (c)  </t>
  </si>
  <si>
    <t>SUB-TOTAL FOR CN 3.1</t>
  </si>
  <si>
    <t>CN3.2</t>
  </si>
  <si>
    <t>Fit Out Products</t>
  </si>
  <si>
    <r>
      <t xml:space="preserve">≥ 80% (by cost or area) of the fit-out materials used (construction and finishes) for </t>
    </r>
    <r>
      <rPr>
        <b/>
        <sz val="12"/>
        <color theme="1"/>
        <rFont val="Calibri"/>
        <family val="2"/>
        <scheme val="minor"/>
      </rPr>
      <t>tenanted spaces/dwelling units</t>
    </r>
    <r>
      <rPr>
        <sz val="12"/>
        <color theme="1"/>
        <rFont val="Calibri"/>
        <family val="2"/>
        <scheme val="minor"/>
      </rPr>
      <t xml:space="preserve"> shall be conserved or at least SGBP 2 ticks or equivalent administered by local certification bodies </t>
    </r>
  </si>
  <si>
    <t>SUB-TOTAL FOR CN 3.2</t>
  </si>
  <si>
    <t>CN3.3</t>
  </si>
  <si>
    <t>Tenancy Offset</t>
  </si>
  <si>
    <t>The building owner requires and actively assists the tenants to offset their operational energy through the procurement of renewables, or through the ongoing purchase of certified carbon offsets.
(a) ≥ 30% of tenants (by NLA)
(b) ≥ 60% of tenants (by NLA)
(c) ≥ 90% of tenants (by NLA)</t>
  </si>
  <si>
    <t>SUB-TOTAL FOR CN 3.3</t>
  </si>
  <si>
    <t>INNOVATION</t>
  </si>
  <si>
    <t>Projects can demonstrate substantial performance to a specific Carbon indicator or outcome innovation points can be awarded on a case by case basis. Points shall be awarded based on the strength of evidence of benefits and potential impact.</t>
  </si>
  <si>
    <t>CRITERIA FOR HEALTH &amp; WELLBEING SECTION</t>
  </si>
  <si>
    <t>Health &amp; Wellbeing</t>
  </si>
  <si>
    <t>HW1</t>
  </si>
  <si>
    <t>PHYSIOLOGICAL</t>
  </si>
  <si>
    <t>HW1.1</t>
  </si>
  <si>
    <t>Active Movement Design</t>
  </si>
  <si>
    <t>HW1.1a</t>
  </si>
  <si>
    <t>Active Mobility</t>
  </si>
  <si>
    <t>Sub-Total for HW1.1a</t>
  </si>
  <si>
    <t>HW1.1b</t>
  </si>
  <si>
    <t>Active Interior</t>
  </si>
  <si>
    <r>
      <rPr>
        <b/>
        <sz val="12"/>
        <color theme="1"/>
        <rFont val="Calibri"/>
        <family val="2"/>
        <scheme val="minor"/>
      </rPr>
      <t xml:space="preserve">Internal Staircases </t>
    </r>
    <r>
      <rPr>
        <sz val="12"/>
        <color theme="1"/>
        <rFont val="Calibri"/>
        <family val="2"/>
        <scheme val="minor"/>
      </rPr>
      <t xml:space="preserve">
Active interiors, with internal staircases that are highly visible, appealing, well ventilated and prominent allowing connections between multi-storey spaces or tenancies. 
</t>
    </r>
    <r>
      <rPr>
        <i/>
        <sz val="12"/>
        <color theme="1"/>
        <rFont val="Calibri"/>
        <family val="2"/>
        <scheme val="minor"/>
      </rPr>
      <t xml:space="preserve">The building must either provide the stairs or have the provision of a space for stairs to be installed in the future without significant demolition.
</t>
    </r>
    <r>
      <rPr>
        <sz val="12"/>
        <color theme="1"/>
        <rFont val="Calibri"/>
        <family val="2"/>
        <scheme val="minor"/>
      </rPr>
      <t>(a) at least 50% of floors
(b) all floors with internal staircases</t>
    </r>
  </si>
  <si>
    <t>0.5 points for (a)
1 point for (b)</t>
  </si>
  <si>
    <r>
      <rPr>
        <b/>
        <sz val="12"/>
        <color theme="1"/>
        <rFont val="Calibri"/>
        <family val="2"/>
        <scheme val="minor"/>
      </rPr>
      <t xml:space="preserve">Active Furnishing </t>
    </r>
    <r>
      <rPr>
        <sz val="12"/>
        <color theme="1"/>
        <rFont val="Calibri"/>
        <family val="2"/>
        <scheme val="minor"/>
      </rPr>
      <t xml:space="preserve">
Provision of active furnishing to discourage sedentary behaviour (e.g. standing tables and height-adjustable desk)
(a) at least 50% of all workstations with active furnishing
(b) at least 90% of all workstations with active furnishing</t>
    </r>
  </si>
  <si>
    <t>Sub-Total for HW1.1b</t>
  </si>
  <si>
    <t>HW1.2</t>
  </si>
  <si>
    <t>Material Emissions</t>
  </si>
  <si>
    <r>
      <t xml:space="preserve">Material Finishes to be SGBC 4 tick </t>
    </r>
    <r>
      <rPr>
        <b/>
        <sz val="12"/>
        <color theme="1"/>
        <rFont val="Calibri"/>
        <family val="2"/>
        <scheme val="minor"/>
      </rPr>
      <t>OR</t>
    </r>
    <r>
      <rPr>
        <sz val="12"/>
        <color theme="1"/>
        <rFont val="Calibri"/>
        <family val="2"/>
        <scheme val="minor"/>
      </rPr>
      <t xml:space="preserve"> meet following emission levels stated in Table HW1.2.1:
</t>
    </r>
    <r>
      <rPr>
        <i/>
        <sz val="12"/>
        <color theme="1"/>
        <rFont val="Calibri"/>
        <family val="2"/>
        <scheme val="minor"/>
      </rPr>
      <t xml:space="preserve">Materials include paints, floor coverings, wall coverings, ceiling coverings such as carpets, paints, adhesives, engineered timber (including laminates), for carpentry works and furniture where provided. </t>
    </r>
  </si>
  <si>
    <t>Table HW 1.2.1</t>
  </si>
  <si>
    <t>Material Emissions Requirements for non SGBC 4 tick labelled products</t>
  </si>
  <si>
    <t>For products, finishes and furnishings</t>
  </si>
  <si>
    <r>
      <t>• TVOC emissions rate shall be ≤ 0.25 mg m</t>
    </r>
    <r>
      <rPr>
        <vertAlign val="superscript"/>
        <sz val="10"/>
        <color theme="1"/>
        <rFont val="Calibri"/>
        <family val="2"/>
      </rPr>
      <t>-3</t>
    </r>
    <r>
      <rPr>
        <sz val="10"/>
        <color theme="1"/>
        <rFont val="Calibri"/>
        <family val="2"/>
      </rPr>
      <t xml:space="preserve"> h</t>
    </r>
    <r>
      <rPr>
        <vertAlign val="superscript"/>
        <sz val="10"/>
        <color theme="1"/>
        <rFont val="Calibri"/>
        <family val="2"/>
      </rPr>
      <t>-3</t>
    </r>
    <r>
      <rPr>
        <sz val="10"/>
        <color theme="1"/>
        <rFont val="Calibri"/>
        <family val="2"/>
      </rPr>
      <t xml:space="preserve"> after 24 hours
• Formaldehyde emission rate shall be ≤ 0.02 mg m</t>
    </r>
    <r>
      <rPr>
        <vertAlign val="superscript"/>
        <sz val="10"/>
        <color theme="1"/>
        <rFont val="Calibri"/>
        <family val="2"/>
      </rPr>
      <t>-3</t>
    </r>
    <r>
      <rPr>
        <sz val="10"/>
        <color theme="1"/>
        <rFont val="Calibri"/>
        <family val="2"/>
      </rPr>
      <t xml:space="preserve"> h</t>
    </r>
    <r>
      <rPr>
        <vertAlign val="superscript"/>
        <sz val="10"/>
        <color theme="1"/>
        <rFont val="Calibri"/>
        <family val="2"/>
      </rPr>
      <t>-1</t>
    </r>
    <r>
      <rPr>
        <sz val="10"/>
        <color theme="1"/>
        <rFont val="Calibri"/>
        <family val="2"/>
      </rPr>
      <t xml:space="preserve"> after 48 hours</t>
    </r>
  </si>
  <si>
    <t>Paints, Varnishes, lacquers</t>
  </si>
  <si>
    <r>
      <t>• VOC content for trim, stains and varnishes shall be ≤ 75gL</t>
    </r>
    <r>
      <rPr>
        <vertAlign val="superscript"/>
        <sz val="10"/>
        <color theme="1"/>
        <rFont val="Calibri"/>
        <family val="2"/>
      </rPr>
      <t>-1</t>
    </r>
    <r>
      <rPr>
        <sz val="10"/>
        <color theme="1"/>
        <rFont val="Calibri"/>
        <family val="2"/>
      </rPr>
      <t xml:space="preserve">
• VOC content for paints (water-based) shall be ≤ 25gL</t>
    </r>
    <r>
      <rPr>
        <vertAlign val="superscript"/>
        <sz val="10"/>
        <color theme="1"/>
        <rFont val="Calibri"/>
        <family val="2"/>
      </rPr>
      <t>-1</t>
    </r>
    <r>
      <rPr>
        <sz val="10"/>
        <color theme="1"/>
        <rFont val="Calibri"/>
        <family val="2"/>
      </rPr>
      <t xml:space="preserve"> for matt, ≤ 30gL-1 for low sheen, ≤ 75gL-1 for semi-gloss</t>
    </r>
  </si>
  <si>
    <t>Limits for products are based upon ASTM D51 16-90, "Standard Guide for Small-Scale Environmental Chamber Determinations of Organic Emissions from Indoor Materials/Products"
Test methods for paints and coatings shall comply with ISO 17895 or ISO 11890</t>
  </si>
  <si>
    <r>
      <t xml:space="preserve">at least 80% of common areas with acceptable material finishes
</t>
    </r>
    <r>
      <rPr>
        <i/>
        <sz val="10"/>
        <color theme="1"/>
        <rFont val="Calibri"/>
        <family val="2"/>
        <scheme val="minor"/>
      </rPr>
      <t>*includes lettable areas for non-residential developments and dwelling units for residential developments</t>
    </r>
  </si>
  <si>
    <t>Sub-Total for HW1.2</t>
  </si>
  <si>
    <t>HW1.3</t>
  </si>
  <si>
    <t>Air Quality and Comfort</t>
  </si>
  <si>
    <t>HW1.3a</t>
  </si>
  <si>
    <t>Thermal Comfort</t>
  </si>
  <si>
    <r>
      <rPr>
        <u/>
        <sz val="12"/>
        <color theme="1"/>
        <rFont val="Calibri"/>
        <family val="2"/>
        <scheme val="minor"/>
      </rPr>
      <t>Air-Conditioned Non-residential Buildings:</t>
    </r>
    <r>
      <rPr>
        <sz val="12"/>
        <color theme="1"/>
        <rFont val="Calibri"/>
        <family val="2"/>
        <scheme val="minor"/>
      </rPr>
      <t xml:space="preserve">
Zonal temperature and air speed controls. The building can adjust temperature and air speed so that parts of the building can have a thermal variation within it.
</t>
    </r>
    <r>
      <rPr>
        <i/>
        <sz val="11"/>
        <color theme="1"/>
        <rFont val="Calibri"/>
        <family val="2"/>
        <scheme val="minor"/>
      </rPr>
      <t>Strategies include
• The use of hybrid cooling systems with elevated temperatures with provision of ceiling fans and/or individual desk fans. Where comfort can be controlled by the temperature of conditioned air and the windspeed variation.
• Spatial and zonal temperature monitoring with occupant feedback, controls to allow for adjustable air speeds and temperatures in discrete zones in open areas or by room.</t>
    </r>
  </si>
  <si>
    <t>The strategies cover 
(a) at least 50% of regularly occupied functional spaces
(b) at least 90% of regularly occupied functional spaces</t>
  </si>
  <si>
    <t>Residential Buildings and Non Residential non Air-Conditioned functional spaces.</t>
  </si>
  <si>
    <t>B. Effective cross ventilation: 70% of habitable areas to meet area weighted average wind velocity of 0.6m/s</t>
  </si>
  <si>
    <t>C. Prescriptive performance</t>
  </si>
  <si>
    <t>• Openings towards prevailing wind directions</t>
  </si>
  <si>
    <t>0.1 point for every 10%
Max 0.5 point</t>
  </si>
  <si>
    <r>
      <t xml:space="preserve">• Depth of Room vs Openings
</t>
    </r>
    <r>
      <rPr>
        <i/>
        <sz val="12"/>
        <color theme="1"/>
        <rFont val="Calibri"/>
        <family val="2"/>
        <scheme val="minor"/>
      </rPr>
      <t xml:space="preserve">A. Single sided ventilation:
the limiting depth(W) for effective ventilation is twice the floor-to-ceiling height (H) [W≤2H]
B. Cross Ventilation:
the limiting depth(W) for effective ventilation is five times the floor-to-ceiling height (H) [W≤5H]
C. Atria/ event space:
Atria to have an effective opening &gt;10% floor area:
Atria can be 1.5x the depth of room (A and B), or up to 2x depth where the use of fixed air movement technologies are employed (e.g. HVLS fans).
</t>
    </r>
    <r>
      <rPr>
        <sz val="12"/>
        <color theme="1"/>
        <rFont val="Calibri"/>
        <family val="2"/>
        <scheme val="minor"/>
      </rPr>
      <t xml:space="preserve">
(a) at least 50% of applicable spaces
(b) at least 70% of applicable spaces</t>
    </r>
  </si>
  <si>
    <t>Sub-Total for HW1.3a</t>
  </si>
  <si>
    <t>HW1.3b</t>
  </si>
  <si>
    <t>Outdoor Air Provision (Not applicable to Residential Buildings)</t>
  </si>
  <si>
    <r>
      <rPr>
        <b/>
        <sz val="12"/>
        <color theme="1"/>
        <rFont val="Calibri"/>
        <family val="2"/>
        <scheme val="minor"/>
      </rPr>
      <t>Enhanced Outdoor Air Provision</t>
    </r>
    <r>
      <rPr>
        <sz val="12"/>
        <color theme="1"/>
        <rFont val="Calibri"/>
        <family val="2"/>
        <scheme val="minor"/>
      </rPr>
      <t xml:space="preserve">
Outdoor air provision greater than ventilation rates in SS553, with demand control and monitoring systems.
(A) 1.5 times greater than SS553 system
(B) 2 times greater than SS553 system</t>
    </r>
  </si>
  <si>
    <t>1 point for (A)
2 points for (B)</t>
  </si>
  <si>
    <r>
      <rPr>
        <b/>
        <sz val="12"/>
        <color theme="1"/>
        <rFont val="Calibri"/>
        <family val="2"/>
        <scheme val="minor"/>
      </rPr>
      <t>Periodic (Post) Occupancy Evaluation</t>
    </r>
    <r>
      <rPr>
        <sz val="12"/>
        <color theme="1"/>
        <rFont val="Calibri"/>
        <family val="2"/>
        <scheme val="minor"/>
      </rPr>
      <t xml:space="preserve">
At least once every 3 years </t>
    </r>
  </si>
  <si>
    <r>
      <rPr>
        <b/>
        <sz val="12"/>
        <color theme="1"/>
        <rFont val="Calibri"/>
        <family val="2"/>
        <scheme val="minor"/>
      </rPr>
      <t xml:space="preserve">IAQ Surveillance Audit </t>
    </r>
    <r>
      <rPr>
        <sz val="12"/>
        <color theme="1"/>
        <rFont val="Calibri"/>
        <family val="2"/>
        <scheme val="minor"/>
      </rPr>
      <t xml:space="preserve">
By an accredited laboratory once 
(A) Every 3 years
(B) Annually</t>
    </r>
  </si>
  <si>
    <t>A/B</t>
  </si>
  <si>
    <t>0.5 points for (A)
1 point for (B)</t>
  </si>
  <si>
    <t>Sub-Total for HW1.3b</t>
  </si>
  <si>
    <t>HW1.3c</t>
  </si>
  <si>
    <t>Clean Air</t>
  </si>
  <si>
    <t>UVGI system for air disinfection</t>
  </si>
  <si>
    <r>
      <rPr>
        <b/>
        <sz val="12"/>
        <color theme="1"/>
        <rFont val="Calibri"/>
        <family val="2"/>
        <scheme val="minor"/>
      </rPr>
      <t>Air Filtration</t>
    </r>
    <r>
      <rPr>
        <sz val="12"/>
        <color theme="1"/>
        <rFont val="Calibri"/>
        <family val="2"/>
        <scheme val="minor"/>
      </rPr>
      <t xml:space="preserve">
Permanent provision of ePM1 ≥75% (ISO 16890) [or alternatively at least MERV 14A (ASHRAE 52.2 Appendix J)] media filters OR permanent provision of adequate portable air cleaners with HEPA filters for non air-conditioned functional spaces</t>
    </r>
  </si>
  <si>
    <t>Sub-Total for HW1.3c</t>
  </si>
  <si>
    <t>HW2</t>
  </si>
  <si>
    <t>PSYCHOLOGICAL</t>
  </si>
  <si>
    <t>HW2.1</t>
  </si>
  <si>
    <t xml:space="preserve">Access to Nature
</t>
  </si>
  <si>
    <t>Direct connection to plants, water, light or nature views; Indirect connection via natural materials, patterns, art; Placement of natural elements along common circulation routes, shared seating areas, workstations</t>
  </si>
  <si>
    <t>Provision of accessible planted sky terraces, courtyards, and roof top gardens.</t>
  </si>
  <si>
    <t>Fixed indoor planting distributed at key common areas. &gt;10% of common area (by floor Area) to have fixed indoor planting, and/or ponds.</t>
  </si>
  <si>
    <t>Placement of natural elements, and use of mixed textures in key common areas such as atria, entrance lobbies, shared seating areas, and key circulation routes.</t>
  </si>
  <si>
    <t>In the absence of indoor or accessible planting, to orientate and design common areas for direct visual access to greenery.</t>
  </si>
  <si>
    <t>Sub-Total for HW2.1</t>
  </si>
  <si>
    <t>HW2.2</t>
  </si>
  <si>
    <t>Circadian Rhythm</t>
  </si>
  <si>
    <t>Ensuring lighting is aligned with circadian rhythm with day-night cycle with access to views to the outside</t>
  </si>
  <si>
    <r>
      <rPr>
        <b/>
        <sz val="12"/>
        <color theme="1"/>
        <rFont val="Calibri"/>
        <family val="2"/>
        <scheme val="minor"/>
      </rPr>
      <t>Quality of Artificial Lighting</t>
    </r>
    <r>
      <rPr>
        <sz val="12"/>
        <color theme="1"/>
        <rFont val="Calibri"/>
        <family val="2"/>
        <scheme val="minor"/>
      </rPr>
      <t xml:space="preserve">
Provision of
•	Colour Rendering Index
•	Responsive Light Control</t>
    </r>
  </si>
  <si>
    <r>
      <rPr>
        <b/>
        <sz val="12"/>
        <color theme="1"/>
        <rFont val="Calibri"/>
        <family val="2"/>
        <scheme val="minor"/>
      </rPr>
      <t>Circadian Lighting System</t>
    </r>
    <r>
      <rPr>
        <sz val="12"/>
        <color theme="1"/>
        <rFont val="Calibri"/>
        <family val="2"/>
        <scheme val="minor"/>
      </rPr>
      <t xml:space="preserve">
Provision of dynamic lighting system
(A) for Task Lighting
(B) for All Lighting</t>
    </r>
  </si>
  <si>
    <t>Sub-Total for HW2.2</t>
  </si>
  <si>
    <t>HW2.3</t>
  </si>
  <si>
    <t>Sound</t>
  </si>
  <si>
    <t>HW2.3a</t>
  </si>
  <si>
    <t>Sound Zoning Design Approach</t>
  </si>
  <si>
    <t>Implement passive and/or active acoustic control measures to minimise exterior sourced noises by creating positive soundscapes through 
•	Orienting and locating noise-sensitive buildings and spaces away from exterior sourced noises. using less noise-sensitive spaces (e.g. MSCP, pedestrian/cycling pathways) as buffers from exterior sourced noises,  
•	Natural or engineered barrier (balconies, toilets/kitchen, dense landscaping)</t>
  </si>
  <si>
    <t>Sub-Total for HW2.3a</t>
  </si>
  <si>
    <t>HW2.3b</t>
  </si>
  <si>
    <t>Interior Acoustic Comfort</t>
  </si>
  <si>
    <t>Implement acoustic control measures to minimise acoustic discomfort internally.</t>
  </si>
  <si>
    <r>
      <rPr>
        <b/>
        <sz val="12"/>
        <color theme="1"/>
        <rFont val="Calibri"/>
        <family val="2"/>
        <scheme val="minor"/>
      </rPr>
      <t xml:space="preserve">Impact Sound Insulation </t>
    </r>
    <r>
      <rPr>
        <sz val="12"/>
        <color theme="1"/>
        <rFont val="Calibri"/>
        <family val="2"/>
        <scheme val="minor"/>
      </rPr>
      <t>(only applicable to residential)
Compliance with Table HW2.3.2 otherwise per BB93 or HTM08-01</t>
    </r>
  </si>
  <si>
    <r>
      <rPr>
        <b/>
        <sz val="12"/>
        <color theme="1"/>
        <rFont val="Calibri"/>
        <family val="2"/>
        <scheme val="minor"/>
      </rPr>
      <t>Airborne Sound Transmission Reduction</t>
    </r>
    <r>
      <rPr>
        <sz val="12"/>
        <color theme="1"/>
        <rFont val="Calibri"/>
        <family val="2"/>
        <scheme val="minor"/>
      </rPr>
      <t xml:space="preserve">
Compliance with Table HW2.3.1 otherwise per BB93 or HTM08-01</t>
    </r>
  </si>
  <si>
    <r>
      <rPr>
        <b/>
        <sz val="12"/>
        <color theme="1"/>
        <rFont val="Calibri"/>
        <family val="2"/>
        <scheme val="minor"/>
      </rPr>
      <t>Reverberation Time</t>
    </r>
    <r>
      <rPr>
        <sz val="12"/>
        <color theme="1"/>
        <rFont val="Calibri"/>
        <family val="2"/>
        <scheme val="minor"/>
      </rPr>
      <t xml:space="preserve">
Compliance with Reverberation Time criteria provided in Table HW 2.3.3 otherwise per AS2107:2016, BB93 or HTM08-01</t>
    </r>
  </si>
  <si>
    <t>Sub-Total for HW2.3b</t>
  </si>
  <si>
    <t>HW3</t>
  </si>
  <si>
    <t>SOCIOLOGICAL</t>
  </si>
  <si>
    <t>HW3.1</t>
  </si>
  <si>
    <t>Inclusive</t>
  </si>
  <si>
    <r>
      <t xml:space="preserve">Certification through BCA Universal Design Mark
(A) UD Mark Gold </t>
    </r>
    <r>
      <rPr>
        <sz val="12"/>
        <color theme="1"/>
        <rFont val="Calibri"/>
        <family val="2"/>
        <scheme val="minor"/>
      </rPr>
      <t xml:space="preserve">or </t>
    </r>
    <r>
      <rPr>
        <i/>
        <sz val="12"/>
        <color theme="1"/>
        <rFont val="Calibri"/>
        <family val="2"/>
        <scheme val="minor"/>
      </rPr>
      <t>UDi C Rating
(B) UD Mark Gold</t>
    </r>
    <r>
      <rPr>
        <i/>
        <vertAlign val="superscript"/>
        <sz val="12"/>
        <color theme="1"/>
        <rFont val="Calibri"/>
        <family val="2"/>
        <scheme val="minor"/>
      </rPr>
      <t>PLUS</t>
    </r>
    <r>
      <rPr>
        <i/>
        <sz val="12"/>
        <color theme="1"/>
        <rFont val="Calibri"/>
        <family val="2"/>
        <scheme val="minor"/>
      </rPr>
      <t xml:space="preserve"> </t>
    </r>
    <r>
      <rPr>
        <sz val="12"/>
        <color theme="1"/>
        <rFont val="Calibri"/>
        <family val="2"/>
        <scheme val="minor"/>
      </rPr>
      <t xml:space="preserve">or </t>
    </r>
    <r>
      <rPr>
        <i/>
        <sz val="12"/>
        <color theme="1"/>
        <rFont val="Calibri"/>
        <family val="2"/>
        <scheme val="minor"/>
      </rPr>
      <t xml:space="preserve">UDi A </t>
    </r>
    <r>
      <rPr>
        <sz val="12"/>
        <color theme="1"/>
        <rFont val="Calibri"/>
        <family val="2"/>
        <scheme val="minor"/>
      </rPr>
      <t xml:space="preserve">or </t>
    </r>
    <r>
      <rPr>
        <i/>
        <sz val="12"/>
        <color theme="1"/>
        <rFont val="Calibri"/>
        <family val="2"/>
        <scheme val="minor"/>
      </rPr>
      <t>B Rating</t>
    </r>
  </si>
  <si>
    <t>Sub-Total for HW3.1</t>
  </si>
  <si>
    <t>HW3.2</t>
  </si>
  <si>
    <t>Communal Spaces</t>
  </si>
  <si>
    <t>HW3.2a</t>
  </si>
  <si>
    <t>Healthy environments should be designed with a range of spaces catering for a broad spectrum of human activities that are suitably adaptable for collaborating, resting and relaxing, or community bonding. The provision of such spaces especially in a working environment help reduce stress, provide places of focus and refuge for occupants</t>
  </si>
  <si>
    <r>
      <t>Designated indoor and/or outdoor space for restorative practices (minimum 16m</t>
    </r>
    <r>
      <rPr>
        <vertAlign val="superscript"/>
        <sz val="12"/>
        <color theme="1"/>
        <rFont val="Calibri"/>
        <family val="2"/>
        <scheme val="minor"/>
      </rPr>
      <t>2</t>
    </r>
    <r>
      <rPr>
        <sz val="12"/>
        <color theme="1"/>
        <rFont val="Calibri"/>
        <family val="2"/>
        <scheme val="minor"/>
      </rPr>
      <t xml:space="preserve"> per space, and large enough for meditation/yoga or just quiet respite) which are accessible for all building occupants</t>
    </r>
  </si>
  <si>
    <t>Provision of community spaces and facilities, within the development, including physical exercise facilities, playgrounds, communal gardens/allotments/sensory spaces</t>
  </si>
  <si>
    <t>Sub-Total for HW3.2a</t>
  </si>
  <si>
    <t>HW3.2b</t>
  </si>
  <si>
    <t>Outsourced Workers</t>
  </si>
  <si>
    <t>Sub-Total for HW3.2b</t>
  </si>
  <si>
    <t>HW3.3</t>
  </si>
  <si>
    <t>Health and Wellness programmes</t>
  </si>
  <si>
    <t>HW3.3a</t>
  </si>
  <si>
    <t>Physical Activity and Mental Wellness Programmes</t>
  </si>
  <si>
    <t>Structured, regular fitness and mental wellness programmes for all staff, or occupants (at least 6 sessions a year) through engagement of external facilities and resources e.g. subsidised gym memberships health assessments, personal training, fitness classes, mass workouts, talks and workshops, counselling.</t>
  </si>
  <si>
    <t>Sub-Total for HW3.3a</t>
  </si>
  <si>
    <t>HW3.3b</t>
  </si>
  <si>
    <t>Healthy Eating &amp; Drinking</t>
  </si>
  <si>
    <t>Create a healthy food environment through provision of facilities, programmes and policies</t>
  </si>
  <si>
    <r>
      <t xml:space="preserve">Accessible drinking water points at convenient locations
</t>
    </r>
    <r>
      <rPr>
        <i/>
        <sz val="11"/>
        <color theme="1"/>
        <rFont val="Calibri"/>
        <family val="2"/>
        <scheme val="minor"/>
      </rPr>
      <t>Convenient locations include (but not limited to):
* Residential – near playgrounds, recreational areas, sports courts and fitness areas.
* Non residential – internally within common areas near WC’s, changing rooms, and circulation nodes. Externally in accessible landscape areas, playgrounds and recreational spaces</t>
    </r>
  </si>
  <si>
    <t>On site eateries with HPB’s healthier dining programme</t>
  </si>
  <si>
    <t>Corporate policies on healthy eating including catering procurement policies.</t>
  </si>
  <si>
    <t>Sub-Total for HW3.3b</t>
  </si>
  <si>
    <t>Projects can demonstrate substantial performance to a specific Resilience indicator or outcome innovation points can be awarded on a case by case basis. Points shall be awarded based on the strength of evidence of benefits and potential impact.</t>
  </si>
  <si>
    <r>
      <t xml:space="preserve">Where projects can demonstrate substantial performance to a specific Resilience indicator or outcome innovation points can be awarded on a case by case basis. Points shall be awarded based on the strength of evidence of benefits and potential impact.
</t>
    </r>
    <r>
      <rPr>
        <u/>
        <sz val="12"/>
        <color theme="1"/>
        <rFont val="Calibri"/>
        <family val="2"/>
        <scheme val="minor"/>
      </rPr>
      <t>Process:</t>
    </r>
    <r>
      <rPr>
        <sz val="12"/>
        <color theme="1"/>
        <rFont val="Calibri"/>
        <family val="2"/>
        <scheme val="minor"/>
      </rPr>
      <t xml:space="preserve">
</t>
    </r>
    <r>
      <rPr>
        <b/>
        <sz val="12"/>
        <color theme="1"/>
        <rFont val="Calibri"/>
        <family val="2"/>
        <scheme val="minor"/>
      </rPr>
      <t xml:space="preserve">At Design / Pre-retrofit stage
</t>
    </r>
    <r>
      <rPr>
        <sz val="12"/>
        <color theme="1"/>
        <rFont val="Calibri"/>
        <family val="2"/>
        <scheme val="minor"/>
      </rPr>
      <t xml:space="preserve">The project team is to submit a concise summary that articulates:
• The nature of the environmental benefit of their intervention
• Justify the impact of the intervention through detailed calculations and comparisons with industry norms
• Substantiate the calculations and comparisons with evidence and data.
</t>
    </r>
    <r>
      <rPr>
        <b/>
        <sz val="12"/>
        <color theme="1"/>
        <rFont val="Calibri"/>
        <family val="2"/>
        <scheme val="minor"/>
      </rPr>
      <t xml:space="preserve">At Verification (As Built/ In Operation):
</t>
    </r>
    <r>
      <rPr>
        <sz val="12"/>
        <color theme="1"/>
        <rFont val="Calibri"/>
        <family val="2"/>
        <scheme val="minor"/>
      </rPr>
      <t>Details of the implemented intervention including measurements and monitoring of the environmental performance including lessons learnt if the intervention does not perform as expected.</t>
    </r>
  </si>
  <si>
    <t>Points shall be awarded based on the strength of evidence of benefits and potential impact.  
Please do a self scoring for each Innovation &amp; input either 0.5, 1, 1.5 &amp; 2 points.
(Capped at 2 points)</t>
  </si>
  <si>
    <t>CRITERIA FOR INTELLIGENCE SECTION</t>
  </si>
  <si>
    <t>IN 1</t>
  </si>
  <si>
    <t>IN 1.1</t>
  </si>
  <si>
    <t>Digital Life Cycle</t>
  </si>
  <si>
    <t>PIM (BIM) developed in accordance with  Singapore Model Content Requirements (MCR).</t>
  </si>
  <si>
    <t xml:space="preserve">Use of spatial model co-ordination platform based on PIM for spatial analysis including: </t>
  </si>
  <si>
    <t>a. Identifying system clashes through an automatic model checking tool</t>
  </si>
  <si>
    <t>b. Spatial analysis for effective construction, maintenance and future alteration or replacement.</t>
  </si>
  <si>
    <t>Digital building commissioning, performance and defect co-ordination platform based on PIM to track, co-ordinate and manage the commissioning of systems and the tracking of defects and their rectification.</t>
  </si>
  <si>
    <t>SUB-TOTAL FOR IN 1.1</t>
  </si>
  <si>
    <t>IN 1.2</t>
  </si>
  <si>
    <t>Good Practices to Facilitate Data Management</t>
  </si>
  <si>
    <t>Performance dashboard to monitor the different aspect of building assets’ performance and operations from a single dashboard:</t>
  </si>
  <si>
    <t>a. Operational dashboard: sets of measures used to guide facility operations such as energy &amp; water efficiency and work order status.</t>
  </si>
  <si>
    <t>b. Managerial dashboard: sets of metrics which may use data from multiple operational systems such as asset health and energy use per occupant.</t>
  </si>
  <si>
    <t>Data Management and Integration that:</t>
  </si>
  <si>
    <t>a. Connects and manages asset and facility data, operational data, and real-time equipment data extracted from different sub-systems based on an open protocol.</t>
  </si>
  <si>
    <t>Data Accessibility and Security - information stored in the digital platform(s) can be accessed by facilities teams in a secured manner to facilitate operation and maintenance activities from anywhere and anytime.</t>
  </si>
  <si>
    <t>SUB-TOTAL FOR IN 1.2</t>
  </si>
  <si>
    <t>IN 2</t>
  </si>
  <si>
    <t>IN 2.1</t>
  </si>
  <si>
    <t>Asset Information Model</t>
  </si>
  <si>
    <t>Development and handover of an accurate spatial model of the building or asset which is complete, fully up-to-date and inclusive of renovations that would impact building services or layout alterations.</t>
  </si>
  <si>
    <t>Physical and virtual asset information tagging system that allows for tracking of maintenance work, repairs, refurbishments or upgrades, replacement, decommissioning, risk assessments, and performance evaluations of the physical asset to be captured.</t>
  </si>
  <si>
    <t>Adoption of a common international standard for asset ontology. For example, Brick Schema or Project Haystack.</t>
  </si>
  <si>
    <t>SUB-TOTAL FOR IN 2.1</t>
  </si>
  <si>
    <t>IN 2.2</t>
  </si>
  <si>
    <t>Voluntary Disclosure of Building Energy Performance Data</t>
  </si>
  <si>
    <t>Create your SLEB Smart Hub user account by following the instructions in the video provided here: https://go.gov.sg/slebregister. Subsequently, become a SLEB Smart Hub member by referring to the step-by-step guide available in the video at this link: https://go.gov.sg/slebmember.</t>
  </si>
  <si>
    <t>Share data to SLEB Smart Hub Operation Dashboard by following the instructions in the video provided here: https://go.gov.sg/sleboperation.</t>
  </si>
  <si>
    <t>Share data to SLEB Smart Hub Energy Performance Dashboard by following the instructions in the video provided here: https://go.gov.sg/slebenergy.</t>
  </si>
  <si>
    <t>SUB-TOTAL FOR IN 2.2</t>
  </si>
  <si>
    <t>IN 2.3</t>
  </si>
  <si>
    <t>Data Ethics</t>
  </si>
  <si>
    <t>Demonstrate accountable data ethics practices that identifies the various opportunities for the collection, analysis, and use of data, organised around 4 principles:
a) Governance and Transparency
b) Management of Personal Data
c) Care of Personal Data
d) Individuals’ Rights</t>
  </si>
  <si>
    <t>SUB-TOTAL FOR IN 2.3</t>
  </si>
  <si>
    <t>IN 3</t>
  </si>
  <si>
    <t>IN 3.1</t>
  </si>
  <si>
    <t>Energy Usage Optimisation</t>
  </si>
  <si>
    <t>Adaptive ACMV control system (Water Side) – continuously monitor, analyse, and modify BMS control settings to optimise energy usage of ACMV (water-side) system while maintaining occupant comfort.</t>
  </si>
  <si>
    <t>Adaptive ACMV control system (Air Side) – continuously monitor, analyse, and modify BMS control settings to optimise energy usage of ACMV (air side) system while maintaining occupant comfort.</t>
  </si>
  <si>
    <t>Adaptive lighting monitoring &amp; control system – continuously monitor and control the lighting within specific areas based on inputs such as motion, daylight levels, or space temperature to reduce energy usage while maintaining comfortable user experience.</t>
  </si>
  <si>
    <t>Tenant energy monitoring and optimisation – continuously monitor, benchmark, and report tenant energy consumption to optimise the energy consumption.</t>
  </si>
  <si>
    <t>SUB-TOTAL FOR IN 3.1</t>
  </si>
  <si>
    <t>IN 3.2</t>
  </si>
  <si>
    <t>Greenhouse Gas (GHG) Emissions Monitoring and Tracking</t>
  </si>
  <si>
    <t>Point allocation is based on the scopes of GHG monitoring and tracking:</t>
  </si>
  <si>
    <t>Scope 1 GHG emission (direct emission) and Scope 2 GHG emission (indirect emission).</t>
  </si>
  <si>
    <t>Scope 3 GHG emission (indirect emission) for at least 2 relevant categories.</t>
  </si>
  <si>
    <t>SUB-TOTAL FOR IN 3.2</t>
  </si>
  <si>
    <t>IN 3.3</t>
  </si>
  <si>
    <t>Health &amp; Comfort – Provision of indoor air quality monitoring system with zonal controls</t>
  </si>
  <si>
    <t>Health &amp; Comfort – Provision of indoor air quality monitoring system with zonal controls.</t>
  </si>
  <si>
    <t>SUB-TOTAL FOR IN 3.3</t>
  </si>
  <si>
    <t>IN 3.4</t>
  </si>
  <si>
    <t>Space Optimisation</t>
  </si>
  <si>
    <t>To continuously monitor, track, and report space utilisation in order to empower building owner and/or FM team to optimise space functionality/utilisation and occupant/FM personnel productivity.</t>
  </si>
  <si>
    <t>SUB-TOTAL FOR IN 3.4</t>
  </si>
  <si>
    <t>IN 3.5</t>
  </si>
  <si>
    <t>User Experience</t>
  </si>
  <si>
    <t>User feedback: proactive collection and use of data using a digital user feedback platform to understand, track and manage the occupants or residents experience within the building:
• User patterns
• Comfort (thermal, visual, aural, olfactory, and spatial, including locational information)</t>
  </si>
  <si>
    <t>Community experience: a user-friendly digital platform that grants building occupants or residents convenient access to a variety of services available within the building and its community.</t>
  </si>
  <si>
    <t>a. Electronic notice board: to improve communication within residential building community, making it easier to share information, engage residents, and enhance the overall living experience.</t>
  </si>
  <si>
    <t>b. Innovative use of the electronic noticed board system.</t>
  </si>
  <si>
    <t>a. Parcel delivery management: a user-friendly parcel delivery management system that enhance the convenience and satisfaction of residents, as well as streamline the operations of property management.</t>
  </si>
  <si>
    <t>b. Innovative use of the parcel delivery management system.</t>
  </si>
  <si>
    <t>SUB-TOTAL FOR IN 3.5</t>
  </si>
  <si>
    <t>Intelligence - Innovation</t>
  </si>
  <si>
    <t>Projects can demonstrate substantial performance to a specific Intelligence indicator or outcome innovation points can be awarded on a case by case basis. Points shall be awarded based on the strength of evidence of benefits and potential impact.</t>
  </si>
  <si>
    <t>Points shall be awarded based on the strength of evidence of benefits and potential impact.
Please do a self scoring for each Innovation.
Capped on 2 points</t>
  </si>
  <si>
    <t>Innovation no. 2:</t>
  </si>
  <si>
    <t>Important Note - Please use embedded Maintainability Section Scoresheet below to generate scoring</t>
  </si>
  <si>
    <r>
      <rPr>
        <b/>
        <sz val="16"/>
        <color rgb="FF7030A0"/>
        <rFont val="Calibri"/>
        <family val="2"/>
        <scheme val="minor"/>
      </rPr>
      <t>1) Please ensure that this excel file is named as Green Mark 2021_Scoresheet (ENRB).xlsx
2) The Maintainability Section scores should be automatically populated here once the embedded scoresheet is saved and closed.
3) If the scores are not automatically populated, it is likely due to MS Office version issues. Please input the scores manually in the</t>
    </r>
    <r>
      <rPr>
        <b/>
        <sz val="16"/>
        <color rgb="FF9933FF"/>
        <rFont val="Calibri"/>
        <family val="2"/>
        <scheme val="minor"/>
      </rPr>
      <t xml:space="preserve"> </t>
    </r>
    <r>
      <rPr>
        <b/>
        <u/>
        <sz val="16"/>
        <color rgb="FFFFCC99"/>
        <rFont val="Calibri"/>
        <family val="2"/>
        <scheme val="minor"/>
      </rPr>
      <t>beige</t>
    </r>
    <r>
      <rPr>
        <b/>
        <sz val="16"/>
        <color rgb="FF9933FF"/>
        <rFont val="Calibri"/>
        <family val="2"/>
        <scheme val="minor"/>
      </rPr>
      <t xml:space="preserve"> </t>
    </r>
    <r>
      <rPr>
        <b/>
        <sz val="16"/>
        <color rgb="FF7030A0"/>
        <rFont val="Calibri"/>
        <family val="2"/>
        <scheme val="minor"/>
      </rPr>
      <t xml:space="preserve">coloured cells and all these cells must be filled up.
4) If the scores have been automatically populated from the embedded scoresheet, please do </t>
    </r>
    <r>
      <rPr>
        <b/>
        <u/>
        <sz val="16"/>
        <color rgb="FF7030A0"/>
        <rFont val="Calibri"/>
        <family val="2"/>
        <scheme val="minor"/>
      </rPr>
      <t>not</t>
    </r>
    <r>
      <rPr>
        <b/>
        <sz val="16"/>
        <color rgb="FF7030A0"/>
        <rFont val="Calibri"/>
        <family val="2"/>
        <scheme val="minor"/>
      </rPr>
      <t xml:space="preserve"> input the scores manually in the beige coloured cells.</t>
    </r>
    <r>
      <rPr>
        <b/>
        <sz val="16"/>
        <color rgb="FF9933FF"/>
        <rFont val="Calibri"/>
        <family val="2"/>
        <scheme val="minor"/>
      </rPr>
      <t xml:space="preserve">
</t>
    </r>
    <r>
      <rPr>
        <b/>
        <sz val="16"/>
        <color theme="5"/>
        <rFont val="Calibri"/>
        <family val="2"/>
        <scheme val="minor"/>
      </rPr>
      <t>Note to assessors: Please save and close the embedded scoresheet to automatically populate the score.</t>
    </r>
  </si>
  <si>
    <t>CRITERIA FOR MAINTAINABILITY SECTION</t>
  </si>
  <si>
    <t>Points Scored from Embedded Scoresheet</t>
  </si>
  <si>
    <t>Manual input of Points</t>
  </si>
  <si>
    <t>Section 0 - General</t>
  </si>
  <si>
    <t>Section 1 - Architectural Exterior</t>
  </si>
  <si>
    <t>1.5</t>
  </si>
  <si>
    <t>1.6</t>
  </si>
  <si>
    <t>1.7</t>
  </si>
  <si>
    <t>Section 2 - Architectural Interior</t>
  </si>
  <si>
    <t>Section 3 - Mechanical</t>
  </si>
  <si>
    <t>Section 4 - Electrical</t>
  </si>
  <si>
    <t>Section 5 - Landscape</t>
  </si>
  <si>
    <t>Section 6 - Smart FM - Innovative Solutions</t>
  </si>
  <si>
    <t>Section 7 - Smart FM - Building Management System</t>
  </si>
  <si>
    <t>Section 8 - Smart FM - Facilities Management System</t>
  </si>
  <si>
    <t>Bonus Points</t>
  </si>
  <si>
    <t>Section 1 Bonus Points</t>
  </si>
  <si>
    <t>Section 5 Bonus Points</t>
  </si>
  <si>
    <t>TOTAL Maintainability Section Points Scored</t>
  </si>
  <si>
    <t>Maintainability Prorated Points</t>
  </si>
  <si>
    <t>Bonus scored</t>
  </si>
  <si>
    <t>TOTAL Maintainability Section Points Scored After Pro-rating</t>
  </si>
  <si>
    <t>w/o Bonus</t>
  </si>
  <si>
    <t>w Bonus</t>
  </si>
  <si>
    <t>Cleared Pre-submission Meeting?</t>
  </si>
  <si>
    <t>Total Number of Green Mark 2021 Points</t>
  </si>
  <si>
    <t>Attained Maintainability Badge?</t>
  </si>
  <si>
    <t>Whole Life carbon assessment consistent with EN 15978 and EN 15804</t>
  </si>
  <si>
    <r>
      <rPr>
        <b/>
        <u/>
        <sz val="12"/>
        <color rgb="FF000000"/>
        <rFont val="Calibri"/>
        <family val="2"/>
        <scheme val="minor"/>
      </rPr>
      <t xml:space="preserve">Prerequisite 
</t>
    </r>
    <r>
      <rPr>
        <sz val="12"/>
        <color rgb="FF000000"/>
        <rFont val="Calibri"/>
        <family val="2"/>
        <scheme val="minor"/>
      </rPr>
      <t>Non-residential projects must score minimum 1 point (for new building) or 2 points (for existing building) from IN1.2 to attain the Intelligence Badge.</t>
    </r>
  </si>
  <si>
    <r>
      <rPr>
        <b/>
        <sz val="12"/>
        <color theme="1"/>
        <rFont val="Calibri"/>
        <family val="2"/>
        <scheme val="minor"/>
      </rPr>
      <t xml:space="preserve">Safe and Convenient Access for Active Mobility </t>
    </r>
    <r>
      <rPr>
        <sz val="12"/>
        <color theme="1"/>
        <rFont val="Calibri"/>
        <family val="2"/>
        <scheme val="minor"/>
      </rPr>
      <t xml:space="preserve">
Provision of safe and convenient access to protect the visitors, users and occupants through design for safe access and movement to and around the site. Provision of safe and segregated access for pedestrians and cyclists with vehicular traffic with direct connections to cycle lanes and footpaths.</t>
    </r>
  </si>
  <si>
    <r>
      <rPr>
        <b/>
        <sz val="12"/>
        <color theme="1"/>
        <rFont val="Calibri"/>
        <family val="2"/>
        <scheme val="minor"/>
      </rPr>
      <t>Bicycle Lots</t>
    </r>
    <r>
      <rPr>
        <sz val="12"/>
        <color theme="1"/>
        <rFont val="Calibri"/>
        <family val="2"/>
        <scheme val="minor"/>
      </rPr>
      <t xml:space="preserve">
Provision of secure and sheltered bicycle lots that are 50% more than the LTA/URA requirement with associated shower, changing and locker facilities.</t>
    </r>
  </si>
  <si>
    <r>
      <t>Control zones shall not exceed 100m</t>
    </r>
    <r>
      <rPr>
        <vertAlign val="superscript"/>
        <sz val="12"/>
        <color theme="1"/>
        <rFont val="Calibri"/>
        <family val="2"/>
        <scheme val="minor"/>
      </rPr>
      <t>2</t>
    </r>
  </si>
  <si>
    <t>Controls shall provide the logic to modify the operation of the VAV box, FCU, Passive Displacement System coil temperature, Ceiling fan speed or other system employed, which will adjust thermal comfort (temperature and air speed) in that zone.</t>
  </si>
  <si>
    <t>1 point for (a)
2 points for (b)</t>
  </si>
  <si>
    <r>
      <rPr>
        <b/>
        <sz val="12"/>
        <color theme="1"/>
        <rFont val="Calibri"/>
        <family val="2"/>
        <scheme val="minor"/>
      </rPr>
      <t>Internal Noise Level</t>
    </r>
    <r>
      <rPr>
        <sz val="12"/>
        <color theme="1"/>
        <rFont val="Calibri"/>
        <family val="2"/>
        <scheme val="minor"/>
      </rPr>
      <t xml:space="preserve">
Applies to internal noise levels for closed façade condition only
(i.e. all normally operable windows and doors to outside are closed)
Internal noise levels to comply with SS553 Amendment 1 noise criteria, otherwise per AS2107:2016, BB93 or HTM08-01</t>
    </r>
  </si>
  <si>
    <r>
      <rPr>
        <b/>
        <sz val="12"/>
        <color theme="1"/>
        <rFont val="Calibri"/>
        <family val="2"/>
        <scheme val="minor"/>
      </rPr>
      <t>Restorative and community Spaces</t>
    </r>
    <r>
      <rPr>
        <sz val="11"/>
        <color theme="1"/>
        <rFont val="Calibri"/>
        <family val="2"/>
        <scheme val="minor"/>
      </rPr>
      <t xml:space="preserve">
</t>
    </r>
  </si>
  <si>
    <t>Provision of proper and reasonable rest areas for Outsourced workers (e.g. security officers, cleaners) to rest, recuperate, and eat. Refer to the ‘Tripartite Advisory on Provision of Rest Areas for Outsourced Workers’ (Dec 2019):
Locations that afford privacy and provides a pleasant environment as well as provision of amenities such as tables, chairs, water coolers, lockers.</t>
  </si>
  <si>
    <t>CN1.1(ii)</t>
  </si>
  <si>
    <t>CN1.1(i)</t>
  </si>
  <si>
    <t xml:space="preserve">(a) </t>
  </si>
  <si>
    <r>
      <t>Calculation of embodied carbon of the development (kg CO</t>
    </r>
    <r>
      <rPr>
        <vertAlign val="subscript"/>
        <sz val="12"/>
        <rFont val="Calibri"/>
        <family val="2"/>
        <scheme val="minor"/>
      </rPr>
      <t>2</t>
    </r>
    <r>
      <rPr>
        <sz val="12"/>
        <rFont val="Calibri"/>
        <family val="2"/>
        <scheme val="minor"/>
      </rPr>
      <t>e/m</t>
    </r>
    <r>
      <rPr>
        <vertAlign val="superscript"/>
        <sz val="12"/>
        <rFont val="Calibri"/>
        <family val="2"/>
        <scheme val="minor"/>
      </rPr>
      <t>2</t>
    </r>
    <r>
      <rPr>
        <sz val="12"/>
        <rFont val="Calibri"/>
        <family val="2"/>
        <scheme val="minor"/>
      </rPr>
      <t xml:space="preserve">)
</t>
    </r>
    <r>
      <rPr>
        <i/>
        <sz val="12"/>
        <rFont val="Calibri"/>
        <family val="2"/>
        <scheme val="minor"/>
      </rPr>
      <t>Using the Building Embodied Carbon Calculator (BECC) OR Singapore Building Carbon Calculator (SBCC) hosted at the SGBC website. (Also refer to SGBC Embodied Carbon in Buildings Calculation Guidance)</t>
    </r>
  </si>
  <si>
    <t>(b) &gt;10% Reduction from the reference embodied carbon (for Concrete, Glass and Steel)
(c) &gt;30% Reduction from the reference embodied carbon (for Concrete, Glass and Steel)</t>
  </si>
  <si>
    <t>(Reference values based on A1-A5 emissions for superstructure)</t>
  </si>
  <si>
    <t>At least 50% offset of scope 2 emissions offset at verification stage</t>
  </si>
  <si>
    <r>
      <t xml:space="preserve">Replacement of aggregates
</t>
    </r>
    <r>
      <rPr>
        <sz val="12"/>
        <rFont val="Calibri"/>
        <family val="2"/>
        <scheme val="minor"/>
      </rPr>
      <t xml:space="preserve">Replacement of coarse and fine aggregates for structural concrete applications [by mass of Crushed Concrete Aggregates (CCA), Washed Copper Slag (WCS), granite fines (GF)] must meet both minimum requirements in terms of </t>
    </r>
    <r>
      <rPr>
        <u/>
        <sz val="12"/>
        <rFont val="Calibri"/>
        <family val="2"/>
        <scheme val="minor"/>
      </rPr>
      <t>extent of usage</t>
    </r>
    <r>
      <rPr>
        <sz val="12"/>
        <rFont val="Calibri"/>
        <family val="2"/>
        <scheme val="minor"/>
      </rPr>
      <t xml:space="preserve"> and </t>
    </r>
    <r>
      <rPr>
        <u/>
        <sz val="12"/>
        <rFont val="Calibri"/>
        <family val="2"/>
        <scheme val="minor"/>
      </rPr>
      <t>replacement levels</t>
    </r>
  </si>
  <si>
    <r>
      <t xml:space="preserve">Replacement level of coarse aggregate with CCA </t>
    </r>
    <r>
      <rPr>
        <sz val="12"/>
        <rFont val="Calibri"/>
        <family val="2"/>
      </rPr>
      <t>≥ 20%</t>
    </r>
  </si>
  <si>
    <t>Minimum extent of usage of CCA ≥ 1.5% of GFA</t>
  </si>
  <si>
    <r>
      <t xml:space="preserve">≥ 80% (by cost or area) of the fit-out materials used (construction and finishes) for </t>
    </r>
    <r>
      <rPr>
        <b/>
        <sz val="12"/>
        <rFont val="Calibri"/>
        <family val="2"/>
        <scheme val="minor"/>
      </rPr>
      <t>common areas</t>
    </r>
    <r>
      <rPr>
        <sz val="12"/>
        <rFont val="Calibri"/>
        <family val="2"/>
        <scheme val="minor"/>
      </rPr>
      <t xml:space="preserve"> (i.e. non-tenanted spaces) shall be conserved or at least SGBP 2 ticks or equivalent administered by local  certification bodies</t>
    </r>
  </si>
  <si>
    <r>
      <rPr>
        <b/>
        <sz val="12"/>
        <rFont val="Calibri"/>
        <family val="2"/>
        <scheme val="minor"/>
      </rPr>
      <t>Process:</t>
    </r>
    <r>
      <rPr>
        <sz val="12"/>
        <rFont val="Calibri"/>
        <family val="2"/>
        <scheme val="minor"/>
      </rPr>
      <t xml:space="preserve">
</t>
    </r>
    <r>
      <rPr>
        <b/>
        <sz val="12"/>
        <rFont val="Calibri"/>
        <family val="2"/>
        <scheme val="minor"/>
      </rPr>
      <t>At Design / Pre-retrofit stage</t>
    </r>
    <r>
      <rPr>
        <sz val="12"/>
        <rFont val="Calibri"/>
        <family val="2"/>
        <scheme val="minor"/>
      </rPr>
      <t xml:space="preserve">
The project team is to submit a concise summary that articulates:
•  The nature of the environmental benefit of their intervention
•  Justify the impact of the intervention through detailed calculations and comparisons with industry norms
•  Substantiate the calculations and comparisons with evidence and data
</t>
    </r>
    <r>
      <rPr>
        <b/>
        <sz val="12"/>
        <rFont val="Calibri"/>
        <family val="2"/>
        <scheme val="minor"/>
      </rPr>
      <t>At Verification (As Built/ In Operation):</t>
    </r>
    <r>
      <rPr>
        <sz val="12"/>
        <rFont val="Calibri"/>
        <family val="2"/>
        <scheme val="minor"/>
      </rPr>
      <t xml:space="preserve">
Details of the implemented intervention including measurements and monitoring of the environmental performance including lessons learnt if the intervention does not perform as expected. 
Examples:
•   Full scope of Whole Life Carbon (WLC) Assessment
•   Use of NEWSand in non-structural applications
•   Use of carbon mineralisation technologies
•   Use of 100% granite fines as aggregate replacement 
•   Recognising products with EPDs
•   Recognising the use of low carbon technologies and solutions as part of sustainable construction practices (e.g. use of low carbon construction site generators, energy storage solutions, electric construction equipment, etc.)
•   Recognising design for Disassembly/Future adaptability - to facilitate future changes and dismantlement (in part or whole) for recovery of systems, components and materials.
</t>
    </r>
  </si>
  <si>
    <t>b. Allows data exchange between robots, lifts, and automated doorways.</t>
  </si>
  <si>
    <r>
      <rPr>
        <u/>
        <sz val="12"/>
        <color theme="1"/>
        <rFont val="Calibri"/>
        <family val="2"/>
        <scheme val="minor"/>
      </rPr>
      <t>Process:</t>
    </r>
    <r>
      <rPr>
        <sz val="12"/>
        <color theme="1"/>
        <rFont val="Calibri"/>
        <family val="2"/>
        <scheme val="minor"/>
      </rPr>
      <t xml:space="preserve">
</t>
    </r>
    <r>
      <rPr>
        <b/>
        <sz val="12"/>
        <color theme="1"/>
        <rFont val="Calibri"/>
        <family val="2"/>
        <scheme val="minor"/>
      </rPr>
      <t>At Design / Pre-retrofit stage</t>
    </r>
    <r>
      <rPr>
        <sz val="12"/>
        <color theme="1"/>
        <rFont val="Calibri"/>
        <family val="2"/>
        <scheme val="minor"/>
      </rPr>
      <t xml:space="preserve">
The project team is to submit a concise summary that articulates:
• The nature of the environmental benefit of their intervention
• Justify the impact of the intervention through detailed calculations and comparisons with industry norms
• Substantiate the calculations and comparisons with evidence and data.
</t>
    </r>
    <r>
      <rPr>
        <b/>
        <sz val="12"/>
        <color theme="1"/>
        <rFont val="Calibri"/>
        <family val="2"/>
        <scheme val="minor"/>
      </rPr>
      <t xml:space="preserve">At Verification (As Built/ In Operation):
</t>
    </r>
    <r>
      <rPr>
        <sz val="12"/>
        <color theme="1"/>
        <rFont val="Calibri"/>
        <family val="2"/>
        <scheme val="minor"/>
      </rPr>
      <t xml:space="preserve">Details of the implemented intervention including measurements and monitoring of the environmental performance including lessons learnt if the intervention does not perform as expected.
</t>
    </r>
    <r>
      <rPr>
        <i/>
        <sz val="12"/>
        <color theme="1"/>
        <rFont val="Calibri"/>
        <family val="2"/>
        <scheme val="minor"/>
      </rPr>
      <t>Example:</t>
    </r>
    <r>
      <rPr>
        <sz val="12"/>
        <color theme="1"/>
        <rFont val="Calibri"/>
        <family val="2"/>
        <scheme val="minor"/>
      </rPr>
      <t xml:space="preserve">
</t>
    </r>
    <r>
      <rPr>
        <i/>
        <sz val="12"/>
        <color theme="1"/>
        <rFont val="Calibri"/>
        <family val="2"/>
        <scheme val="minor"/>
      </rPr>
      <t>- Use of Singapore Green Building Council certified smart building products or product with equivalent certification where 0.25 point shall be awarded for each smart product used that is certified by Singapore Green Building Council or other equivalent certification entities. The coverage rate shall be at least 50% of the applicable areas.</t>
    </r>
    <r>
      <rPr>
        <sz val="12"/>
        <color theme="1"/>
        <rFont val="Calibri"/>
        <family val="2"/>
        <scheme val="minor"/>
      </rPr>
      <t xml:space="preserve">
</t>
    </r>
    <r>
      <rPr>
        <i/>
        <sz val="12"/>
        <color theme="1"/>
        <rFont val="Calibri"/>
        <family val="2"/>
        <scheme val="minor"/>
      </rPr>
      <t>- Adoption of Digital Twin Technology.
- An Enabling Infrastructure (EI) such as Robotics Middleware Framework (RMF) that enables interoperability among heterogenous robot fleets.</t>
    </r>
  </si>
  <si>
    <r>
      <rPr>
        <b/>
        <sz val="12"/>
        <color theme="1"/>
        <rFont val="Calibri"/>
        <family val="2"/>
        <scheme val="minor"/>
      </rPr>
      <t>Views to the outside</t>
    </r>
    <r>
      <rPr>
        <sz val="12"/>
        <color theme="1"/>
        <rFont val="Calibri"/>
        <family val="2"/>
        <scheme val="minor"/>
      </rPr>
      <t xml:space="preserve"> – functional spaces are within 8m distance from a window, without obstruction.
(A) 75% of the floor area of all regularly occupied spaces is within 8m of windows, with unobstructed views
(B) 95% of the floor area of all regularly occupied spaces is within 12m of windows, with unobstructed views</t>
    </r>
  </si>
  <si>
    <r>
      <t xml:space="preserve">At </t>
    </r>
    <r>
      <rPr>
        <b/>
        <sz val="12"/>
        <color theme="1"/>
        <rFont val="Calibri"/>
        <family val="2"/>
        <scheme val="minor"/>
      </rPr>
      <t>Design/Pre-retrofit Stage</t>
    </r>
    <r>
      <rPr>
        <sz val="12"/>
        <color theme="1"/>
        <rFont val="Calibri"/>
        <family val="2"/>
        <scheme val="minor"/>
      </rPr>
      <t xml:space="preserve">, to submit a concise summary that articulates: -
a) the nature of the environmental benefit of their interventiaon
b) justify the impact of intervention through detailed calculations and comparisons with industry norms
c) substantiate the calculations &amp; comparisons with evidence and data
</t>
    </r>
    <r>
      <rPr>
        <b/>
        <sz val="12"/>
        <color theme="1"/>
        <rFont val="Calibri"/>
        <family val="2"/>
        <scheme val="minor"/>
      </rPr>
      <t>At Verification Stage (As-built / In operation)</t>
    </r>
    <r>
      <rPr>
        <sz val="12"/>
        <color theme="1"/>
        <rFont val="Calibri"/>
        <family val="2"/>
        <scheme val="minor"/>
      </rPr>
      <t xml:space="preserve">, to submit the following:-
a) details of the implemented intervention/innnovation
b) measurements and recordings of key metrics/indicators to show improvements in the environmental performance arising from the implemented intervention or innovation. 
c) lessons learnt if the intervention does not perform as expected.
</t>
    </r>
    <r>
      <rPr>
        <b/>
        <u/>
        <sz val="12"/>
        <color theme="1"/>
        <rFont val="Calibri"/>
        <family val="2"/>
        <scheme val="minor"/>
      </rPr>
      <t xml:space="preserve">Examples </t>
    </r>
    <r>
      <rPr>
        <sz val="12"/>
        <color theme="1"/>
        <rFont val="Calibri"/>
        <family val="2"/>
        <scheme val="minor"/>
      </rPr>
      <t>:
1. RE 2.2 - Pushing the boundary of the circularity agenda by adopting innovative solutions/technologies to closing the resource loops and achieving zero waste.
2. Project fully embraces induction cooking to support electrification (0.5 point).</t>
    </r>
  </si>
  <si>
    <t>A. Thermal comfort simulation: -0.5&lt;=PMV&lt;=0.5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</si>
</sst>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_ ;[Red]\-#,##0\ "/>
    <numFmt numFmtId="166" formatCode="0.000"/>
  </numFmts>
  <fonts count="56" x14ac:knownFonts="1">
    <font>
      <sz val="11"/>
      <color theme="1"/>
      <name val="Calibri"/>
      <family val="2"/>
      <scheme val="minor"/>
    </font>
    <font>
      <sz val="11"/>
      <color theme="1"/>
      <name val="Calibri"/>
      <family val="2"/>
      <scheme val="minor"/>
    </font>
    <font>
      <b/>
      <sz val="11"/>
      <color theme="1"/>
      <name val="Calibri"/>
      <family val="2"/>
      <scheme val="minor"/>
    </font>
    <font>
      <b/>
      <sz val="24"/>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4"/>
      <color theme="0"/>
      <name val="Calibri"/>
      <family val="2"/>
      <scheme val="minor"/>
    </font>
    <font>
      <b/>
      <sz val="12"/>
      <color rgb="FF000000"/>
      <name val="Calibri"/>
      <family val="2"/>
      <scheme val="minor"/>
    </font>
    <font>
      <b/>
      <sz val="12"/>
      <color theme="0"/>
      <name val="Calibri"/>
      <family val="2"/>
      <scheme val="minor"/>
    </font>
    <font>
      <b/>
      <sz val="12"/>
      <name val="Calibri"/>
      <family val="2"/>
      <scheme val="minor"/>
    </font>
    <font>
      <sz val="12"/>
      <name val="Calibri"/>
      <family val="2"/>
      <scheme val="minor"/>
    </font>
    <font>
      <b/>
      <sz val="16"/>
      <color theme="0"/>
      <name val="Calibri"/>
      <family val="2"/>
      <scheme val="minor"/>
    </font>
    <font>
      <b/>
      <sz val="16"/>
      <color rgb="FF000000"/>
      <name val="Calibri"/>
      <family val="2"/>
      <scheme val="minor"/>
    </font>
    <font>
      <sz val="11"/>
      <name val="Calibri"/>
      <family val="2"/>
      <scheme val="minor"/>
    </font>
    <font>
      <b/>
      <u/>
      <sz val="12"/>
      <color theme="1"/>
      <name val="Calibri"/>
      <family val="2"/>
      <scheme val="minor"/>
    </font>
    <font>
      <u/>
      <sz val="12"/>
      <color theme="1"/>
      <name val="Calibri"/>
      <family val="2"/>
      <scheme val="minor"/>
    </font>
    <font>
      <b/>
      <sz val="16"/>
      <name val="Calibri"/>
      <family val="2"/>
      <scheme val="minor"/>
    </font>
    <font>
      <vertAlign val="superscript"/>
      <sz val="12"/>
      <color theme="1"/>
      <name val="Calibri"/>
      <family val="2"/>
      <scheme val="minor"/>
    </font>
    <font>
      <i/>
      <sz val="12"/>
      <color theme="1"/>
      <name val="Calibri"/>
      <family val="2"/>
      <scheme val="minor"/>
    </font>
    <font>
      <sz val="12"/>
      <color theme="1"/>
      <name val="Calibri"/>
      <family val="2"/>
    </font>
    <font>
      <i/>
      <sz val="11"/>
      <color theme="1"/>
      <name val="Calibri"/>
      <family val="2"/>
      <scheme val="minor"/>
    </font>
    <font>
      <b/>
      <sz val="14"/>
      <name val="Calibri"/>
      <family val="2"/>
      <scheme val="minor"/>
    </font>
    <font>
      <sz val="10"/>
      <color theme="1"/>
      <name val="Calibri"/>
      <family val="2"/>
      <scheme val="minor"/>
    </font>
    <font>
      <sz val="10"/>
      <color theme="1"/>
      <name val="Calibri"/>
      <family val="2"/>
    </font>
    <font>
      <vertAlign val="superscript"/>
      <sz val="10"/>
      <color theme="1"/>
      <name val="Calibri"/>
      <family val="2"/>
    </font>
    <font>
      <i/>
      <sz val="10"/>
      <color theme="1"/>
      <name val="Calibri"/>
      <family val="2"/>
      <scheme val="minor"/>
    </font>
    <font>
      <b/>
      <sz val="10"/>
      <color theme="1"/>
      <name val="Calibri"/>
      <family val="2"/>
      <scheme val="minor"/>
    </font>
    <font>
      <sz val="10"/>
      <name val="Arial"/>
      <family val="2"/>
    </font>
    <font>
      <i/>
      <vertAlign val="superscript"/>
      <sz val="12"/>
      <color theme="1"/>
      <name val="Calibri"/>
      <family val="2"/>
      <scheme val="minor"/>
    </font>
    <font>
      <sz val="12"/>
      <color theme="0"/>
      <name val="Calibri"/>
      <family val="2"/>
      <scheme val="minor"/>
    </font>
    <font>
      <sz val="11"/>
      <color theme="1"/>
      <name val="Arial"/>
      <family val="2"/>
    </font>
    <font>
      <b/>
      <u/>
      <sz val="16"/>
      <color theme="1"/>
      <name val="Arial"/>
      <family val="2"/>
    </font>
    <font>
      <b/>
      <u/>
      <sz val="12"/>
      <color theme="1"/>
      <name val="Arial"/>
      <family val="2"/>
    </font>
    <font>
      <b/>
      <sz val="11"/>
      <color theme="1"/>
      <name val="Arial"/>
      <family val="2"/>
    </font>
    <font>
      <b/>
      <u/>
      <sz val="11"/>
      <color theme="1"/>
      <name val="Arial"/>
      <family val="2"/>
    </font>
    <font>
      <vertAlign val="superscript"/>
      <sz val="11"/>
      <color theme="1"/>
      <name val="Arial"/>
      <family val="2"/>
    </font>
    <font>
      <b/>
      <sz val="11"/>
      <name val="Arial"/>
      <family val="2"/>
    </font>
    <font>
      <sz val="11"/>
      <name val="Arial"/>
      <family val="2"/>
    </font>
    <font>
      <b/>
      <u/>
      <sz val="16"/>
      <color theme="1"/>
      <name val="Calibri"/>
      <family val="2"/>
      <scheme val="minor"/>
    </font>
    <font>
      <sz val="11"/>
      <color rgb="FF3F3F76"/>
      <name val="Calibri"/>
      <family val="2"/>
      <scheme val="minor"/>
    </font>
    <font>
      <b/>
      <sz val="16"/>
      <color rgb="FF9933FF"/>
      <name val="Calibri"/>
      <family val="2"/>
      <scheme val="minor"/>
    </font>
    <font>
      <b/>
      <sz val="16"/>
      <color rgb="FF7030A0"/>
      <name val="Calibri"/>
      <family val="2"/>
      <scheme val="minor"/>
    </font>
    <font>
      <b/>
      <u/>
      <sz val="16"/>
      <color rgb="FFFFCC99"/>
      <name val="Calibri"/>
      <family val="2"/>
      <scheme val="minor"/>
    </font>
    <font>
      <b/>
      <u/>
      <sz val="16"/>
      <color rgb="FF9933FF"/>
      <name val="Calibri"/>
      <family val="2"/>
      <scheme val="minor"/>
    </font>
    <font>
      <b/>
      <u/>
      <sz val="16"/>
      <color rgb="FF7030A0"/>
      <name val="Calibri"/>
      <family val="2"/>
      <scheme val="minor"/>
    </font>
    <font>
      <b/>
      <sz val="16"/>
      <color theme="5"/>
      <name val="Calibri"/>
      <family val="2"/>
      <scheme val="minor"/>
    </font>
    <font>
      <b/>
      <u/>
      <sz val="12"/>
      <color rgb="FF000000"/>
      <name val="Calibri"/>
      <family val="2"/>
      <scheme val="minor"/>
    </font>
    <font>
      <sz val="12"/>
      <color rgb="FF000000"/>
      <name val="Calibri"/>
      <family val="2"/>
      <scheme val="minor"/>
    </font>
    <font>
      <strike/>
      <sz val="12"/>
      <color theme="1"/>
      <name val="Calibri"/>
      <family val="2"/>
      <scheme val="minor"/>
    </font>
    <font>
      <vertAlign val="subscript"/>
      <sz val="12"/>
      <name val="Calibri"/>
      <family val="2"/>
      <scheme val="minor"/>
    </font>
    <font>
      <vertAlign val="superscript"/>
      <sz val="12"/>
      <name val="Calibri"/>
      <family val="2"/>
      <scheme val="minor"/>
    </font>
    <font>
      <i/>
      <sz val="12"/>
      <name val="Calibri"/>
      <family val="2"/>
      <scheme val="minor"/>
    </font>
    <font>
      <u/>
      <sz val="12"/>
      <name val="Calibri"/>
      <family val="2"/>
      <scheme val="minor"/>
    </font>
    <font>
      <sz val="12"/>
      <name val="Calibri"/>
      <family val="2"/>
    </font>
  </fonts>
  <fills count="35">
    <fill>
      <patternFill patternType="none"/>
    </fill>
    <fill>
      <patternFill patternType="gray125"/>
    </fill>
    <fill>
      <patternFill patternType="solid">
        <fgColor theme="0" tint="-0.14999847407452621"/>
        <bgColor indexed="64"/>
      </patternFill>
    </fill>
    <fill>
      <patternFill patternType="solid">
        <fgColor rgb="FF00B050"/>
        <bgColor indexed="64"/>
      </patternFill>
    </fill>
    <fill>
      <patternFill patternType="solid">
        <fgColor rgb="FF002060"/>
        <bgColor indexed="64"/>
      </patternFill>
    </fill>
    <fill>
      <patternFill patternType="solid">
        <fgColor rgb="FF00B0F0"/>
        <bgColor indexed="64"/>
      </patternFill>
    </fill>
    <fill>
      <patternFill patternType="solid">
        <fgColor rgb="FFFFC000"/>
        <bgColor indexed="64"/>
      </patternFill>
    </fill>
    <fill>
      <patternFill patternType="solid">
        <fgColor rgb="FF7030A0"/>
        <bgColor indexed="64"/>
      </patternFill>
    </fill>
    <fill>
      <patternFill patternType="solid">
        <fgColor theme="7" tint="0.79998168889431442"/>
        <bgColor indexed="64"/>
      </patternFill>
    </fill>
    <fill>
      <patternFill patternType="solid">
        <fgColor theme="9"/>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CCFF33"/>
        <bgColor indexed="64"/>
      </patternFill>
    </fill>
    <fill>
      <patternFill patternType="solid">
        <fgColor theme="0"/>
        <bgColor indexed="64"/>
      </patternFill>
    </fill>
    <fill>
      <patternFill patternType="solid">
        <fgColor theme="9" tint="-0.249977111117893"/>
        <bgColor indexed="64"/>
      </patternFill>
    </fill>
    <fill>
      <patternFill patternType="solid">
        <fgColor rgb="FFFFFF00"/>
        <bgColor indexed="64"/>
      </patternFill>
    </fill>
    <fill>
      <patternFill patternType="solid">
        <fgColor rgb="FF000066"/>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rgb="FF66FFFF"/>
        <bgColor indexed="64"/>
      </patternFill>
    </fill>
    <fill>
      <patternFill patternType="solid">
        <fgColor rgb="FFCCFFFF"/>
        <bgColor indexed="64"/>
      </patternFill>
    </fill>
    <fill>
      <patternFill patternType="solid">
        <fgColor rgb="FF66CCFF"/>
        <bgColor indexed="64"/>
      </patternFill>
    </fill>
    <fill>
      <patternFill patternType="solid">
        <fgColor rgb="FF66FFCC"/>
        <bgColor indexed="64"/>
      </patternFill>
    </fill>
    <fill>
      <patternFill patternType="solid">
        <fgColor rgb="FFFFFFCC"/>
        <bgColor indexed="64"/>
      </patternFill>
    </fill>
    <fill>
      <patternFill patternType="solid">
        <fgColor theme="7" tint="0.59999389629810485"/>
        <bgColor indexed="64"/>
      </patternFill>
    </fill>
    <fill>
      <patternFill patternType="solid">
        <fgColor rgb="FF9966FF"/>
        <bgColor indexed="64"/>
      </patternFill>
    </fill>
    <fill>
      <patternFill patternType="solid">
        <fgColor rgb="FFCCCCFF"/>
        <bgColor indexed="64"/>
      </patternFill>
    </fill>
    <fill>
      <patternFill patternType="solid">
        <fgColor theme="0" tint="-4.9989318521683403E-2"/>
        <bgColor indexed="64"/>
      </patternFill>
    </fill>
    <fill>
      <patternFill patternType="solid">
        <fgColor theme="4" tint="-0.499984740745262"/>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0" tint="-0.34998626667073579"/>
        <bgColor indexed="64"/>
      </patternFill>
    </fill>
    <fill>
      <patternFill patternType="solid">
        <fgColor rgb="FFFFCC99"/>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hair">
        <color auto="1"/>
      </left>
      <right style="hair">
        <color auto="1"/>
      </right>
      <top/>
      <bottom style="hair">
        <color auto="1"/>
      </bottom>
      <diagonal/>
    </border>
    <border>
      <left/>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7F7F7F"/>
      </left>
      <right style="thin">
        <color rgb="FF7F7F7F"/>
      </right>
      <top style="thin">
        <color rgb="FF7F7F7F"/>
      </top>
      <bottom style="thin">
        <color rgb="FF7F7F7F"/>
      </bottom>
      <diagonal/>
    </border>
    <border>
      <left/>
      <right style="medium">
        <color indexed="64"/>
      </right>
      <top/>
      <bottom/>
      <diagonal/>
    </border>
  </borders>
  <cellStyleXfs count="5">
    <xf numFmtId="0" fontId="0" fillId="0" borderId="0"/>
    <xf numFmtId="0" fontId="1" fillId="0" borderId="0"/>
    <xf numFmtId="0" fontId="1" fillId="0" borderId="0"/>
    <xf numFmtId="0" fontId="29" fillId="0" borderId="0"/>
    <xf numFmtId="0" fontId="41" fillId="34" borderId="34" applyNumberFormat="0" applyAlignment="0" applyProtection="0"/>
  </cellStyleXfs>
  <cellXfs count="563">
    <xf numFmtId="0" fontId="0" fillId="0" borderId="0" xfId="0"/>
    <xf numFmtId="0" fontId="4" fillId="0" borderId="0" xfId="0" applyFont="1"/>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11" fillId="11" borderId="1" xfId="0" applyFont="1" applyFill="1" applyBorder="1" applyAlignment="1" applyProtection="1">
      <alignment horizontal="center" vertical="center"/>
      <protection locked="0"/>
    </xf>
    <xf numFmtId="0" fontId="11" fillId="11" borderId="2" xfId="0" applyFont="1" applyFill="1" applyBorder="1" applyAlignment="1" applyProtection="1">
      <alignment horizontal="center" vertical="center"/>
      <protection locked="0"/>
    </xf>
    <xf numFmtId="0" fontId="4" fillId="0" borderId="1" xfId="0" applyFont="1" applyBorder="1" applyAlignment="1">
      <alignment horizontal="center" vertical="center"/>
    </xf>
    <xf numFmtId="0" fontId="4" fillId="0" borderId="1" xfId="1" applyFont="1" applyBorder="1" applyAlignment="1">
      <alignment horizontal="justify" vertical="center" wrapText="1"/>
    </xf>
    <xf numFmtId="0" fontId="4" fillId="0" borderId="1" xfId="0" applyFont="1" applyBorder="1" applyAlignment="1">
      <alignment vertical="center"/>
    </xf>
    <xf numFmtId="0" fontId="4" fillId="0" borderId="1" xfId="0" applyFont="1" applyBorder="1" applyAlignment="1">
      <alignment vertical="center" wrapText="1"/>
    </xf>
    <xf numFmtId="0" fontId="11" fillId="8" borderId="1" xfId="0" applyFont="1" applyFill="1" applyBorder="1" applyAlignment="1" applyProtection="1">
      <alignment horizontal="center" vertical="center"/>
      <protection locked="0"/>
    </xf>
    <xf numFmtId="0" fontId="12" fillId="0" borderId="1" xfId="0" applyFont="1" applyBorder="1" applyAlignment="1">
      <alignment horizontal="center" vertical="center"/>
    </xf>
    <xf numFmtId="0" fontId="12" fillId="0" borderId="1" xfId="0" applyFont="1" applyBorder="1" applyAlignment="1">
      <alignment horizontal="left" vertical="center" wrapText="1"/>
    </xf>
    <xf numFmtId="0" fontId="0" fillId="0" borderId="0" xfId="0" applyAlignment="1">
      <alignment horizontal="center"/>
    </xf>
    <xf numFmtId="0" fontId="10" fillId="7" borderId="1" xfId="0" applyFont="1" applyFill="1" applyBorder="1" applyAlignment="1">
      <alignment horizontal="left" vertical="center"/>
    </xf>
    <xf numFmtId="0" fontId="10" fillId="7" borderId="1" xfId="0" applyFont="1" applyFill="1" applyBorder="1" applyAlignment="1">
      <alignment horizontal="right" vertical="center"/>
    </xf>
    <xf numFmtId="0" fontId="31" fillId="7" borderId="1" xfId="0" applyFont="1" applyFill="1" applyBorder="1" applyAlignment="1">
      <alignment horizontal="right" vertical="center"/>
    </xf>
    <xf numFmtId="0" fontId="11" fillId="31" borderId="1" xfId="0" applyFont="1" applyFill="1" applyBorder="1" applyAlignment="1" applyProtection="1">
      <alignment horizontal="center" vertical="center"/>
      <protection locked="0"/>
    </xf>
    <xf numFmtId="0" fontId="0" fillId="0" borderId="1" xfId="0" applyBorder="1" applyProtection="1">
      <protection locked="0"/>
    </xf>
    <xf numFmtId="0" fontId="5"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164" fontId="5" fillId="6" borderId="1" xfId="0" applyNumberFormat="1" applyFont="1" applyFill="1" applyBorder="1" applyAlignment="1">
      <alignment horizontal="center" vertical="center" wrapText="1"/>
    </xf>
    <xf numFmtId="0" fontId="5" fillId="6" borderId="1" xfId="0" quotePrefix="1" applyFont="1" applyFill="1" applyBorder="1" applyAlignment="1">
      <alignment horizontal="center" vertical="center"/>
    </xf>
    <xf numFmtId="0" fontId="11" fillId="26" borderId="1" xfId="0" applyFont="1" applyFill="1" applyBorder="1" applyAlignment="1">
      <alignment horizontal="center" vertical="center"/>
    </xf>
    <xf numFmtId="0" fontId="11" fillId="26" borderId="1" xfId="0" applyFont="1" applyFill="1" applyBorder="1" applyAlignment="1">
      <alignment horizontal="center" vertical="center" wrapText="1"/>
    </xf>
    <xf numFmtId="164" fontId="11" fillId="26" borderId="1" xfId="0" applyNumberFormat="1" applyFont="1" applyFill="1" applyBorder="1" applyAlignment="1">
      <alignment horizontal="center" vertical="center"/>
    </xf>
    <xf numFmtId="0" fontId="5" fillId="25" borderId="1" xfId="0" applyFont="1" applyFill="1" applyBorder="1" applyAlignment="1">
      <alignment horizontal="center" vertical="center"/>
    </xf>
    <xf numFmtId="0" fontId="9" fillId="25" borderId="1" xfId="0" applyFont="1" applyFill="1" applyBorder="1" applyAlignment="1">
      <alignment vertical="center" wrapText="1"/>
    </xf>
    <xf numFmtId="0" fontId="9" fillId="25" borderId="1" xfId="0" applyFont="1" applyFill="1" applyBorder="1" applyAlignment="1">
      <alignment horizontal="left" vertical="center" wrapText="1"/>
    </xf>
    <xf numFmtId="0" fontId="4" fillId="25" borderId="1" xfId="0" applyFont="1" applyFill="1" applyBorder="1" applyAlignment="1">
      <alignment vertical="center"/>
    </xf>
    <xf numFmtId="164" fontId="4" fillId="25" borderId="1" xfId="0" applyNumberFormat="1" applyFont="1" applyFill="1" applyBorder="1" applyAlignment="1">
      <alignment vertical="center"/>
    </xf>
    <xf numFmtId="0" fontId="11" fillId="0" borderId="1" xfId="0" applyFont="1" applyBorder="1" applyAlignment="1">
      <alignment horizontal="center" vertical="center"/>
    </xf>
    <xf numFmtId="164" fontId="11" fillId="0" borderId="1" xfId="0" applyNumberFormat="1" applyFont="1" applyBorder="1" applyAlignment="1">
      <alignment horizontal="center" vertical="center" wrapText="1"/>
    </xf>
    <xf numFmtId="0" fontId="11" fillId="33" borderId="1" xfId="0" applyFont="1" applyFill="1" applyBorder="1" applyAlignment="1">
      <alignment horizontal="center" vertical="center"/>
    </xf>
    <xf numFmtId="0" fontId="12" fillId="33" borderId="1" xfId="0" applyFont="1" applyFill="1" applyBorder="1" applyAlignment="1">
      <alignment horizontal="center" vertical="center"/>
    </xf>
    <xf numFmtId="0" fontId="4" fillId="15" borderId="1" xfId="0" applyFont="1" applyFill="1" applyBorder="1" applyAlignment="1">
      <alignment horizontal="center" vertical="center"/>
    </xf>
    <xf numFmtId="164" fontId="11" fillId="15" borderId="1" xfId="0" applyNumberFormat="1" applyFont="1" applyFill="1" applyBorder="1" applyAlignment="1">
      <alignment horizontal="center" vertical="center" wrapText="1"/>
    </xf>
    <xf numFmtId="0" fontId="4" fillId="15" borderId="1" xfId="0" applyFont="1" applyFill="1" applyBorder="1" applyAlignment="1">
      <alignment vertical="center"/>
    </xf>
    <xf numFmtId="0" fontId="4" fillId="13" borderId="1" xfId="1" applyFont="1" applyFill="1" applyBorder="1" applyAlignment="1">
      <alignment vertical="center" wrapText="1"/>
    </xf>
    <xf numFmtId="0" fontId="4" fillId="13" borderId="1" xfId="1" applyFont="1" applyFill="1" applyBorder="1" applyAlignment="1">
      <alignment horizontal="center" vertical="center" wrapText="1"/>
    </xf>
    <xf numFmtId="0" fontId="4" fillId="0" borderId="1" xfId="1" applyFont="1" applyBorder="1" applyAlignment="1">
      <alignment vertical="center" wrapText="1"/>
    </xf>
    <xf numFmtId="0" fontId="4" fillId="0" borderId="1" xfId="1" applyFont="1" applyBorder="1" applyAlignment="1">
      <alignment horizontal="center" vertical="center"/>
    </xf>
    <xf numFmtId="0" fontId="4" fillId="0" borderId="1" xfId="0" applyFont="1" applyBorder="1" applyAlignment="1">
      <alignment horizontal="justify" vertical="center" wrapText="1"/>
    </xf>
    <xf numFmtId="0" fontId="4" fillId="0" borderId="1" xfId="2" quotePrefix="1" applyFont="1" applyBorder="1" applyAlignment="1">
      <alignment horizontal="justify" vertical="center" wrapText="1"/>
    </xf>
    <xf numFmtId="0" fontId="4" fillId="0" borderId="1" xfId="2" applyFont="1" applyBorder="1" applyAlignment="1">
      <alignment horizontal="justify" vertical="center" wrapText="1"/>
    </xf>
    <xf numFmtId="0" fontId="5" fillId="25" borderId="1" xfId="0" applyFont="1" applyFill="1" applyBorder="1" applyAlignment="1">
      <alignment vertical="center" wrapText="1"/>
    </xf>
    <xf numFmtId="0" fontId="4" fillId="0" borderId="1" xfId="0" applyFont="1" applyBorder="1" applyAlignment="1" applyProtection="1">
      <alignment vertical="center"/>
      <protection locked="0"/>
    </xf>
    <xf numFmtId="164" fontId="5" fillId="0" borderId="1" xfId="0" applyNumberFormat="1"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1" xfId="0" applyFont="1" applyBorder="1" applyAlignment="1" applyProtection="1">
      <alignment vertical="center" wrapText="1"/>
      <protection locked="0"/>
    </xf>
    <xf numFmtId="0" fontId="18" fillId="5" borderId="1" xfId="0" applyFont="1" applyFill="1" applyBorder="1" applyAlignment="1">
      <alignment horizontal="center" vertical="center" wrapText="1"/>
    </xf>
    <xf numFmtId="0" fontId="11" fillId="5" borderId="1" xfId="0" quotePrefix="1" applyFont="1" applyFill="1" applyBorder="1" applyAlignment="1">
      <alignment horizontal="center" vertical="center"/>
    </xf>
    <xf numFmtId="0" fontId="11" fillId="23" borderId="1" xfId="0" applyFont="1" applyFill="1" applyBorder="1" applyAlignment="1">
      <alignment horizontal="center" vertical="center"/>
    </xf>
    <xf numFmtId="0" fontId="11" fillId="23" borderId="5" xfId="0" applyFont="1" applyFill="1" applyBorder="1" applyAlignment="1">
      <alignment horizontal="center" vertical="center"/>
    </xf>
    <xf numFmtId="0" fontId="11" fillId="23" borderId="6" xfId="0" applyFont="1" applyFill="1" applyBorder="1" applyAlignment="1">
      <alignment vertical="center"/>
    </xf>
    <xf numFmtId="0" fontId="11" fillId="21" borderId="1" xfId="0" applyFont="1" applyFill="1" applyBorder="1" applyAlignment="1">
      <alignment horizontal="center" vertical="top"/>
    </xf>
    <xf numFmtId="0" fontId="11" fillId="21" borderId="1" xfId="0" applyFont="1" applyFill="1" applyBorder="1" applyAlignment="1">
      <alignment horizontal="center" vertical="center"/>
    </xf>
    <xf numFmtId="0" fontId="11" fillId="22" borderId="1" xfId="0" applyFont="1" applyFill="1" applyBorder="1" applyAlignment="1">
      <alignment horizontal="center" vertical="top"/>
    </xf>
    <xf numFmtId="0" fontId="12" fillId="22" borderId="1" xfId="0" applyFont="1" applyFill="1" applyBorder="1" applyAlignment="1">
      <alignment horizontal="center" vertical="center"/>
    </xf>
    <xf numFmtId="0" fontId="12" fillId="22" borderId="1" xfId="0" applyFont="1" applyFill="1" applyBorder="1" applyAlignment="1">
      <alignment horizontal="center" vertical="top"/>
    </xf>
    <xf numFmtId="0" fontId="4" fillId="24" borderId="1" xfId="0" applyFont="1" applyFill="1" applyBorder="1" applyAlignment="1">
      <alignment vertical="top"/>
    </xf>
    <xf numFmtId="0" fontId="24" fillId="0" borderId="18" xfId="0" applyFont="1" applyBorder="1" applyAlignment="1">
      <alignment horizontal="left" vertical="center" wrapText="1"/>
    </xf>
    <xf numFmtId="0" fontId="25" fillId="0" borderId="19" xfId="0" applyFont="1" applyBorder="1" applyAlignment="1">
      <alignment vertical="top" wrapText="1"/>
    </xf>
    <xf numFmtId="0" fontId="24" fillId="0" borderId="18" xfId="0" applyFont="1" applyBorder="1" applyAlignment="1">
      <alignment vertical="center" wrapText="1"/>
    </xf>
    <xf numFmtId="0" fontId="11" fillId="21" borderId="6" xfId="0" applyFont="1" applyFill="1" applyBorder="1" applyAlignment="1">
      <alignment horizontal="center" vertical="top"/>
    </xf>
    <xf numFmtId="0" fontId="11" fillId="22" borderId="6" xfId="0" applyFont="1" applyFill="1" applyBorder="1" applyAlignment="1">
      <alignment horizontal="center" vertical="top"/>
    </xf>
    <xf numFmtId="0" fontId="5" fillId="0" borderId="6" xfId="0" applyFont="1" applyBorder="1" applyAlignment="1">
      <alignment horizontal="center" vertical="center" wrapText="1"/>
    </xf>
    <xf numFmtId="0" fontId="5" fillId="0" borderId="1" xfId="0" applyFont="1" applyBorder="1" applyAlignment="1">
      <alignment horizontal="center" vertical="center" wrapText="1"/>
    </xf>
    <xf numFmtId="0" fontId="5" fillId="33" borderId="1" xfId="0" applyFont="1" applyFill="1" applyBorder="1" applyAlignment="1">
      <alignment horizontal="center" vertical="center" wrapText="1"/>
    </xf>
    <xf numFmtId="0" fontId="11" fillId="23" borderId="1" xfId="0" applyFont="1" applyFill="1" applyBorder="1" applyAlignment="1">
      <alignment vertical="center"/>
    </xf>
    <xf numFmtId="0" fontId="11" fillId="0" borderId="1" xfId="0" applyFont="1" applyBorder="1" applyAlignment="1">
      <alignment horizontal="center" vertical="top"/>
    </xf>
    <xf numFmtId="0" fontId="5" fillId="0" borderId="1" xfId="0" applyFont="1" applyBorder="1" applyAlignment="1">
      <alignment vertical="center" wrapText="1"/>
    </xf>
    <xf numFmtId="0" fontId="11" fillId="22" borderId="1" xfId="0" applyFont="1" applyFill="1" applyBorder="1" applyAlignment="1">
      <alignment horizontal="center" vertical="center"/>
    </xf>
    <xf numFmtId="0" fontId="11" fillId="0" borderId="1" xfId="0" applyFont="1" applyBorder="1" applyAlignment="1">
      <alignment horizontal="center" vertical="center" wrapText="1"/>
    </xf>
    <xf numFmtId="0" fontId="0" fillId="0" borderId="1" xfId="0" applyBorder="1"/>
    <xf numFmtId="0" fontId="2" fillId="0" borderId="0" xfId="0" applyFont="1"/>
    <xf numFmtId="0" fontId="4" fillId="17" borderId="1" xfId="0" applyFont="1" applyFill="1" applyBorder="1" applyAlignment="1" applyProtection="1">
      <alignment horizontal="center" vertical="center"/>
      <protection locked="0"/>
    </xf>
    <xf numFmtId="0" fontId="4" fillId="0" borderId="1" xfId="0" applyFont="1" applyBorder="1" applyAlignment="1" applyProtection="1">
      <alignment vertical="top"/>
      <protection locked="0"/>
    </xf>
    <xf numFmtId="0" fontId="4" fillId="0" borderId="2" xfId="0" applyFont="1" applyBorder="1" applyAlignment="1" applyProtection="1">
      <alignment horizontal="center" vertical="top"/>
      <protection locked="0"/>
    </xf>
    <xf numFmtId="0" fontId="4" fillId="0" borderId="1" xfId="0" applyFont="1" applyBorder="1" applyAlignment="1" applyProtection="1">
      <alignment horizontal="center" vertical="top"/>
      <protection locked="0"/>
    </xf>
    <xf numFmtId="0" fontId="17" fillId="0" borderId="1" xfId="0" applyFont="1" applyBorder="1" applyAlignment="1" applyProtection="1">
      <alignment vertical="top" wrapText="1"/>
      <protection locked="0"/>
    </xf>
    <xf numFmtId="0" fontId="13" fillId="4" borderId="1" xfId="0" applyFont="1" applyFill="1" applyBorder="1" applyAlignment="1">
      <alignment horizontal="center" vertical="center" wrapText="1"/>
    </xf>
    <xf numFmtId="0" fontId="10" fillId="4" borderId="1" xfId="0" quotePrefix="1" applyFont="1" applyFill="1" applyBorder="1" applyAlignment="1">
      <alignment horizontal="center" vertical="center"/>
    </xf>
    <xf numFmtId="0" fontId="10" fillId="16" borderId="1" xfId="0" applyFont="1" applyFill="1" applyBorder="1" applyAlignment="1">
      <alignment horizontal="center" vertical="center"/>
    </xf>
    <xf numFmtId="164" fontId="10" fillId="16" borderId="5" xfId="0" applyNumberFormat="1" applyFont="1" applyFill="1" applyBorder="1" applyAlignment="1">
      <alignment horizontal="center" vertical="center"/>
    </xf>
    <xf numFmtId="0" fontId="10" fillId="16" borderId="6" xfId="0" applyFont="1" applyFill="1" applyBorder="1" applyAlignment="1">
      <alignment vertical="center"/>
    </xf>
    <xf numFmtId="0" fontId="10" fillId="20" borderId="1" xfId="0" applyFont="1" applyFill="1" applyBorder="1" applyAlignment="1">
      <alignment horizontal="center" vertical="top"/>
    </xf>
    <xf numFmtId="0" fontId="10" fillId="20" borderId="1" xfId="0" applyFont="1" applyFill="1" applyBorder="1" applyAlignment="1">
      <alignment horizontal="center" vertical="center"/>
    </xf>
    <xf numFmtId="0" fontId="5" fillId="19" borderId="1" xfId="0" applyFont="1" applyFill="1" applyBorder="1" applyAlignment="1">
      <alignment horizontal="center" vertical="top"/>
    </xf>
    <xf numFmtId="0" fontId="5" fillId="19" borderId="1" xfId="0" applyFont="1" applyFill="1" applyBorder="1" applyAlignment="1">
      <alignment horizontal="center" vertical="center"/>
    </xf>
    <xf numFmtId="0" fontId="4" fillId="0" borderId="19" xfId="0" applyFont="1" applyBorder="1" applyAlignment="1">
      <alignment horizontal="left" vertical="top"/>
    </xf>
    <xf numFmtId="0" fontId="4" fillId="0" borderId="21" xfId="0" applyFont="1" applyBorder="1" applyAlignment="1">
      <alignment vertical="top"/>
    </xf>
    <xf numFmtId="0" fontId="0" fillId="33" borderId="1" xfId="0" applyFill="1" applyBorder="1" applyAlignment="1">
      <alignment horizontal="center" vertical="center"/>
    </xf>
    <xf numFmtId="0" fontId="2" fillId="0" borderId="1" xfId="0" applyFont="1" applyBorder="1" applyAlignment="1">
      <alignment horizontal="center" vertical="center"/>
    </xf>
    <xf numFmtId="0" fontId="4" fillId="5" borderId="1" xfId="2" applyFont="1" applyFill="1" applyBorder="1" applyAlignment="1">
      <alignment horizontal="center" vertical="center"/>
    </xf>
    <xf numFmtId="0" fontId="4" fillId="5" borderId="1" xfId="0" applyFont="1" applyFill="1" applyBorder="1" applyAlignment="1">
      <alignment horizontal="center" vertical="top"/>
    </xf>
    <xf numFmtId="0" fontId="4" fillId="18" borderId="16" xfId="0" applyFont="1" applyFill="1" applyBorder="1" applyAlignment="1">
      <alignment vertical="top"/>
    </xf>
    <xf numFmtId="0" fontId="5" fillId="18" borderId="17" xfId="0" applyFont="1" applyFill="1" applyBorder="1" applyAlignment="1">
      <alignment horizontal="center" vertical="top" wrapText="1"/>
    </xf>
    <xf numFmtId="0" fontId="4" fillId="0" borderId="23" xfId="0" applyFont="1" applyBorder="1" applyAlignment="1">
      <alignment vertical="top"/>
    </xf>
    <xf numFmtId="0" fontId="4" fillId="0" borderId="18" xfId="0" applyFont="1" applyBorder="1" applyAlignment="1">
      <alignment horizontal="left" vertical="top"/>
    </xf>
    <xf numFmtId="0" fontId="4" fillId="0" borderId="19" xfId="0" applyFont="1" applyBorder="1" applyAlignment="1">
      <alignment horizontal="center" vertical="top"/>
    </xf>
    <xf numFmtId="0" fontId="4" fillId="0" borderId="0" xfId="0" applyFont="1" applyAlignment="1">
      <alignment horizontal="left" vertical="top"/>
    </xf>
    <xf numFmtId="0" fontId="4" fillId="0" borderId="20" xfId="0" applyFont="1" applyBorder="1" applyAlignment="1">
      <alignment horizontal="left" vertical="top"/>
    </xf>
    <xf numFmtId="0" fontId="4" fillId="0" borderId="21" xfId="0" applyFont="1" applyBorder="1" applyAlignment="1">
      <alignment horizontal="center" vertical="top"/>
    </xf>
    <xf numFmtId="0" fontId="4" fillId="19" borderId="1" xfId="0" applyFont="1" applyFill="1" applyBorder="1" applyAlignment="1">
      <alignment vertical="center"/>
    </xf>
    <xf numFmtId="0" fontId="4" fillId="19" borderId="1" xfId="0" applyFont="1" applyFill="1" applyBorder="1" applyAlignment="1">
      <alignment horizontal="center" vertical="center"/>
    </xf>
    <xf numFmtId="0" fontId="5" fillId="19" borderId="1" xfId="0" applyFont="1" applyFill="1" applyBorder="1" applyAlignment="1">
      <alignment vertical="center"/>
    </xf>
    <xf numFmtId="0" fontId="0" fillId="19" borderId="1" xfId="0" applyFill="1" applyBorder="1"/>
    <xf numFmtId="0" fontId="5" fillId="0" borderId="1" xfId="0" applyFont="1" applyBorder="1" applyAlignment="1">
      <alignment vertical="center"/>
    </xf>
    <xf numFmtId="0" fontId="5" fillId="18" borderId="17" xfId="0" applyFont="1" applyFill="1" applyBorder="1" applyAlignment="1">
      <alignment horizontal="left" vertical="top" wrapText="1"/>
    </xf>
    <xf numFmtId="0" fontId="21" fillId="0" borderId="21" xfId="0" applyFont="1" applyBorder="1" applyAlignment="1">
      <alignment horizontal="center" vertical="top"/>
    </xf>
    <xf numFmtId="2" fontId="5" fillId="0" borderId="1" xfId="0" applyNumberFormat="1" applyFont="1" applyBorder="1" applyAlignment="1">
      <alignment horizontal="center" vertical="center"/>
    </xf>
    <xf numFmtId="0" fontId="10" fillId="20" borderId="2" xfId="0" applyFont="1" applyFill="1" applyBorder="1" applyAlignment="1">
      <alignment horizontal="center" vertical="top"/>
    </xf>
    <xf numFmtId="0" fontId="4" fillId="5" borderId="3" xfId="2" applyFont="1" applyFill="1" applyBorder="1" applyAlignment="1">
      <alignment horizontal="center" vertical="center"/>
    </xf>
    <xf numFmtId="0" fontId="10" fillId="16" borderId="5" xfId="0" applyFont="1" applyFill="1" applyBorder="1" applyAlignment="1">
      <alignment horizontal="center" vertical="center"/>
    </xf>
    <xf numFmtId="0" fontId="4" fillId="0" borderId="10" xfId="0" applyFont="1" applyBorder="1" applyAlignment="1">
      <alignment horizontal="center" vertical="top"/>
    </xf>
    <xf numFmtId="0" fontId="5" fillId="0" borderId="1" xfId="0" applyFont="1" applyBorder="1" applyAlignment="1" applyProtection="1">
      <alignment horizontal="center" vertical="top"/>
      <protection locked="0"/>
    </xf>
    <xf numFmtId="0" fontId="14" fillId="3" borderId="1" xfId="0" applyFont="1" applyFill="1" applyBorder="1" applyAlignment="1">
      <alignment horizontal="center" vertical="center" wrapText="1"/>
    </xf>
    <xf numFmtId="0" fontId="5" fillId="3" borderId="1" xfId="0" quotePrefix="1" applyFont="1" applyFill="1" applyBorder="1" applyAlignment="1">
      <alignment horizontal="center" vertical="center"/>
    </xf>
    <xf numFmtId="0" fontId="10" fillId="14" borderId="1" xfId="0" applyFont="1" applyFill="1" applyBorder="1" applyAlignment="1">
      <alignment horizontal="center" vertical="center"/>
    </xf>
    <xf numFmtId="0" fontId="10" fillId="14" borderId="1" xfId="0" applyFont="1" applyFill="1" applyBorder="1" applyAlignment="1">
      <alignment horizontal="center" vertical="center" wrapText="1"/>
    </xf>
    <xf numFmtId="0" fontId="5" fillId="9" borderId="1" xfId="0" applyFont="1" applyFill="1" applyBorder="1" applyAlignment="1">
      <alignment horizontal="center" vertical="center"/>
    </xf>
    <xf numFmtId="0" fontId="9" fillId="9" borderId="7" xfId="0" applyFont="1" applyFill="1" applyBorder="1" applyAlignment="1">
      <alignment vertical="center" wrapText="1"/>
    </xf>
    <xf numFmtId="0" fontId="9" fillId="9" borderId="5" xfId="0" applyFont="1" applyFill="1" applyBorder="1" applyAlignment="1">
      <alignment vertical="center" wrapText="1"/>
    </xf>
    <xf numFmtId="0" fontId="9" fillId="9" borderId="5" xfId="0" applyFont="1" applyFill="1" applyBorder="1" applyAlignment="1">
      <alignment horizontal="left" vertical="center" wrapText="1"/>
    </xf>
    <xf numFmtId="0" fontId="4" fillId="9" borderId="5" xfId="0" applyFont="1" applyFill="1" applyBorder="1" applyAlignment="1">
      <alignment vertical="center"/>
    </xf>
    <xf numFmtId="0" fontId="4" fillId="9" borderId="6" xfId="0" applyFont="1" applyFill="1" applyBorder="1" applyAlignment="1">
      <alignment vertical="center"/>
    </xf>
    <xf numFmtId="0" fontId="5" fillId="10" borderId="1" xfId="0" applyFont="1" applyFill="1" applyBorder="1" applyAlignment="1">
      <alignment horizontal="center" vertical="center"/>
    </xf>
    <xf numFmtId="0" fontId="11" fillId="10" borderId="1" xfId="0" applyFont="1" applyFill="1" applyBorder="1" applyAlignment="1">
      <alignment vertical="center" wrapText="1"/>
    </xf>
    <xf numFmtId="0" fontId="11" fillId="10" borderId="6" xfId="0" applyFont="1" applyFill="1" applyBorder="1" applyAlignment="1">
      <alignment vertical="center" wrapText="1"/>
    </xf>
    <xf numFmtId="0" fontId="11" fillId="10" borderId="8" xfId="0" applyFont="1" applyFill="1" applyBorder="1" applyAlignment="1">
      <alignment horizontal="left" vertical="center" wrapText="1"/>
    </xf>
    <xf numFmtId="0" fontId="5" fillId="10" borderId="1" xfId="1" applyFont="1" applyFill="1" applyBorder="1" applyAlignment="1">
      <alignment horizontal="center" vertical="center"/>
    </xf>
    <xf numFmtId="0" fontId="4" fillId="10" borderId="1" xfId="0" applyFont="1" applyFill="1" applyBorder="1" applyAlignment="1">
      <alignment vertical="center"/>
    </xf>
    <xf numFmtId="0" fontId="4" fillId="12" borderId="1" xfId="0" applyFont="1" applyFill="1" applyBorder="1" applyAlignment="1">
      <alignment horizontal="center" vertical="center"/>
    </xf>
    <xf numFmtId="0" fontId="4" fillId="12" borderId="1" xfId="0" applyFont="1" applyFill="1" applyBorder="1" applyAlignment="1">
      <alignment vertical="center"/>
    </xf>
    <xf numFmtId="49" fontId="5" fillId="10" borderId="1" xfId="1" applyNumberFormat="1" applyFont="1" applyFill="1" applyBorder="1" applyAlignment="1">
      <alignment horizontal="center" vertical="center"/>
    </xf>
    <xf numFmtId="0" fontId="5" fillId="10" borderId="1" xfId="1" applyFont="1" applyFill="1" applyBorder="1" applyAlignment="1">
      <alignment vertical="center" wrapText="1"/>
    </xf>
    <xf numFmtId="0" fontId="5" fillId="10" borderId="6" xfId="1" applyFont="1" applyFill="1" applyBorder="1" applyAlignment="1">
      <alignment vertical="center" wrapText="1"/>
    </xf>
    <xf numFmtId="0" fontId="5" fillId="10" borderId="6" xfId="1" applyFont="1" applyFill="1" applyBorder="1" applyAlignment="1">
      <alignment horizontal="left" vertical="center" wrapText="1"/>
    </xf>
    <xf numFmtId="0" fontId="4" fillId="13" borderId="7" xfId="1" applyFont="1" applyFill="1" applyBorder="1" applyAlignment="1">
      <alignment vertical="center" wrapText="1"/>
    </xf>
    <xf numFmtId="0" fontId="4" fillId="33" borderId="1" xfId="1" applyFont="1" applyFill="1" applyBorder="1" applyAlignment="1">
      <alignment vertical="center" wrapText="1"/>
    </xf>
    <xf numFmtId="0" fontId="4" fillId="0" borderId="7" xfId="1" applyFont="1" applyBorder="1" applyAlignment="1">
      <alignment vertical="center" wrapText="1"/>
    </xf>
    <xf numFmtId="1" fontId="11" fillId="0" borderId="1" xfId="1" applyNumberFormat="1" applyFont="1" applyBorder="1" applyAlignment="1">
      <alignment horizontal="center" vertical="center" wrapText="1"/>
    </xf>
    <xf numFmtId="49" fontId="4" fillId="12" borderId="3" xfId="1" applyNumberFormat="1" applyFont="1" applyFill="1" applyBorder="1" applyAlignment="1">
      <alignment horizontal="center" vertical="center"/>
    </xf>
    <xf numFmtId="0" fontId="4" fillId="12" borderId="8" xfId="0" applyFont="1" applyFill="1" applyBorder="1" applyAlignment="1">
      <alignment horizontal="center" vertical="center"/>
    </xf>
    <xf numFmtId="0" fontId="5" fillId="9" borderId="11" xfId="0" applyFont="1" applyFill="1" applyBorder="1" applyAlignment="1">
      <alignment vertical="center"/>
    </xf>
    <xf numFmtId="0" fontId="5" fillId="9" borderId="5" xfId="0" applyFont="1" applyFill="1" applyBorder="1" applyAlignment="1">
      <alignment vertical="center"/>
    </xf>
    <xf numFmtId="0" fontId="5" fillId="9" borderId="5" xfId="0" applyFont="1" applyFill="1" applyBorder="1" applyAlignment="1">
      <alignment horizontal="left" vertical="center"/>
    </xf>
    <xf numFmtId="0" fontId="5" fillId="9" borderId="12" xfId="0" applyFont="1" applyFill="1" applyBorder="1" applyAlignment="1">
      <alignment vertical="center" wrapText="1"/>
    </xf>
    <xf numFmtId="0" fontId="5" fillId="9" borderId="6" xfId="0" applyFont="1" applyFill="1" applyBorder="1" applyAlignment="1">
      <alignment vertical="center" wrapText="1"/>
    </xf>
    <xf numFmtId="0" fontId="5" fillId="10" borderId="1" xfId="0" applyFont="1" applyFill="1" applyBorder="1" applyAlignment="1">
      <alignment vertical="center" wrapText="1"/>
    </xf>
    <xf numFmtId="0" fontId="5" fillId="10" borderId="8" xfId="0" applyFont="1" applyFill="1" applyBorder="1" applyAlignment="1">
      <alignment vertical="center" wrapText="1"/>
    </xf>
    <xf numFmtId="0" fontId="5" fillId="10" borderId="8" xfId="0" applyFont="1" applyFill="1" applyBorder="1" applyAlignment="1">
      <alignment horizontal="left" vertical="center" wrapText="1"/>
    </xf>
    <xf numFmtId="0" fontId="4" fillId="12" borderId="0" xfId="0" applyFont="1" applyFill="1" applyAlignment="1">
      <alignment vertical="center"/>
    </xf>
    <xf numFmtId="0" fontId="4" fillId="12" borderId="6" xfId="0" applyFont="1" applyFill="1" applyBorder="1" applyAlignment="1">
      <alignment vertical="center"/>
    </xf>
    <xf numFmtId="0" fontId="5" fillId="10" borderId="6" xfId="0" applyFont="1" applyFill="1" applyBorder="1" applyAlignment="1">
      <alignment vertical="center" wrapText="1"/>
    </xf>
    <xf numFmtId="0" fontId="5" fillId="10" borderId="6" xfId="0" applyFont="1" applyFill="1" applyBorder="1" applyAlignment="1">
      <alignment horizontal="left" vertical="center" wrapText="1"/>
    </xf>
    <xf numFmtId="0" fontId="4" fillId="0" borderId="3" xfId="0" applyFont="1" applyBorder="1" applyAlignment="1">
      <alignment vertical="center" wrapText="1"/>
    </xf>
    <xf numFmtId="0" fontId="4" fillId="13" borderId="2" xfId="1" applyFont="1" applyFill="1" applyBorder="1" applyAlignment="1">
      <alignment horizontal="center" vertical="center" wrapText="1"/>
    </xf>
    <xf numFmtId="0" fontId="5" fillId="9" borderId="12" xfId="0" applyFont="1" applyFill="1" applyBorder="1" applyAlignment="1">
      <alignment vertical="center"/>
    </xf>
    <xf numFmtId="0" fontId="5" fillId="9" borderId="12" xfId="0" applyFont="1" applyFill="1" applyBorder="1" applyAlignment="1">
      <alignment horizontal="left" vertical="center"/>
    </xf>
    <xf numFmtId="0" fontId="4" fillId="10" borderId="6" xfId="0" applyFont="1" applyFill="1" applyBorder="1" applyAlignment="1">
      <alignment vertical="center"/>
    </xf>
    <xf numFmtId="0" fontId="4" fillId="33" borderId="1" xfId="2" applyFont="1" applyFill="1" applyBorder="1" applyAlignment="1">
      <alignment horizontal="center" vertical="center" wrapText="1"/>
    </xf>
    <xf numFmtId="0" fontId="4" fillId="0" borderId="1" xfId="2" applyFont="1" applyBorder="1" applyAlignment="1">
      <alignment horizontal="center" vertical="center" wrapText="1"/>
    </xf>
    <xf numFmtId="0" fontId="10" fillId="14" borderId="9" xfId="0" applyFont="1" applyFill="1" applyBorder="1" applyAlignment="1">
      <alignment horizontal="center" vertical="center"/>
    </xf>
    <xf numFmtId="0" fontId="5" fillId="14" borderId="9" xfId="0" applyFont="1" applyFill="1" applyBorder="1" applyAlignment="1">
      <alignment horizontal="center" vertical="center"/>
    </xf>
    <xf numFmtId="0" fontId="5" fillId="9" borderId="1" xfId="2" applyFont="1" applyFill="1" applyBorder="1" applyAlignment="1">
      <alignment horizontal="center" vertical="center"/>
    </xf>
    <xf numFmtId="0" fontId="5" fillId="9" borderId="5" xfId="2" applyFont="1" applyFill="1" applyBorder="1" applyAlignment="1">
      <alignment horizontal="left" vertical="center"/>
    </xf>
    <xf numFmtId="0" fontId="5" fillId="9" borderId="7" xfId="2" applyFont="1" applyFill="1" applyBorder="1" applyAlignment="1">
      <alignment horizontal="center" vertical="center" wrapText="1"/>
    </xf>
    <xf numFmtId="0" fontId="5" fillId="10" borderId="1" xfId="2" applyFont="1" applyFill="1" applyBorder="1" applyAlignment="1">
      <alignment horizontal="center" vertical="center"/>
    </xf>
    <xf numFmtId="0" fontId="5" fillId="10" borderId="1" xfId="2" applyFont="1" applyFill="1" applyBorder="1" applyAlignment="1">
      <alignment vertical="center" wrapText="1"/>
    </xf>
    <xf numFmtId="0" fontId="5" fillId="10" borderId="3" xfId="2" applyFont="1" applyFill="1" applyBorder="1" applyAlignment="1">
      <alignment vertical="center" wrapText="1"/>
    </xf>
    <xf numFmtId="0" fontId="4" fillId="10" borderId="3" xfId="0" applyFont="1" applyFill="1" applyBorder="1" applyAlignment="1">
      <alignment vertical="center"/>
    </xf>
    <xf numFmtId="0" fontId="4" fillId="0" borderId="7" xfId="2" applyFont="1" applyBorder="1" applyAlignment="1">
      <alignment vertical="center" wrapText="1"/>
    </xf>
    <xf numFmtId="0" fontId="4" fillId="33" borderId="1" xfId="2" applyFont="1" applyFill="1" applyBorder="1" applyAlignment="1">
      <alignment vertical="center" wrapText="1"/>
    </xf>
    <xf numFmtId="0" fontId="4" fillId="0" borderId="1" xfId="2" applyFont="1" applyBorder="1" applyAlignment="1">
      <alignment vertical="center" wrapText="1"/>
    </xf>
    <xf numFmtId="0" fontId="4" fillId="0" borderId="7" xfId="2" applyFont="1" applyBorder="1" applyAlignment="1">
      <alignment horizontal="center" vertical="center" wrapText="1"/>
    </xf>
    <xf numFmtId="0" fontId="4" fillId="12" borderId="1" xfId="2" applyFont="1" applyFill="1" applyBorder="1" applyAlignment="1">
      <alignment horizontal="center" vertical="center"/>
    </xf>
    <xf numFmtId="0" fontId="5" fillId="10" borderId="1" xfId="2" applyFont="1" applyFill="1" applyBorder="1" applyAlignment="1">
      <alignment horizontal="center" vertical="center" wrapText="1"/>
    </xf>
    <xf numFmtId="0" fontId="4" fillId="0" borderId="3" xfId="2" quotePrefix="1" applyFont="1" applyBorder="1" applyAlignment="1">
      <alignment horizontal="justify" vertical="center" wrapText="1"/>
    </xf>
    <xf numFmtId="0" fontId="4" fillId="12" borderId="9" xfId="0" applyFont="1" applyFill="1" applyBorder="1" applyAlignment="1">
      <alignment vertical="center"/>
    </xf>
    <xf numFmtId="0" fontId="5" fillId="9" borderId="1" xfId="2" applyFont="1" applyFill="1" applyBorder="1" applyAlignment="1">
      <alignment vertical="center"/>
    </xf>
    <xf numFmtId="0" fontId="5" fillId="9" borderId="6" xfId="2" applyFont="1" applyFill="1" applyBorder="1" applyAlignment="1">
      <alignment vertical="center"/>
    </xf>
    <xf numFmtId="0" fontId="11" fillId="10" borderId="1" xfId="2" applyFont="1" applyFill="1" applyBorder="1" applyAlignment="1">
      <alignment horizontal="center" vertical="center" wrapText="1"/>
    </xf>
    <xf numFmtId="0" fontId="4" fillId="0" borderId="2" xfId="2" applyFont="1" applyBorder="1" applyAlignment="1">
      <alignment vertical="center" wrapText="1"/>
    </xf>
    <xf numFmtId="0" fontId="11" fillId="0" borderId="2" xfId="0" applyFont="1" applyBorder="1" applyAlignment="1">
      <alignment horizontal="center" vertical="center"/>
    </xf>
    <xf numFmtId="0" fontId="5" fillId="10" borderId="3" xfId="2" applyFont="1" applyFill="1" applyBorder="1" applyAlignment="1">
      <alignment horizontal="center" vertical="center"/>
    </xf>
    <xf numFmtId="0" fontId="5" fillId="10" borderId="3" xfId="2" applyFont="1" applyFill="1" applyBorder="1" applyAlignment="1">
      <alignment horizontal="justify" vertical="center" wrapText="1"/>
    </xf>
    <xf numFmtId="0" fontId="5" fillId="10" borderId="3" xfId="2" applyFont="1" applyFill="1" applyBorder="1" applyAlignment="1">
      <alignment horizontal="center" vertical="center" wrapText="1"/>
    </xf>
    <xf numFmtId="0" fontId="4" fillId="10" borderId="3" xfId="2" applyFont="1" applyFill="1" applyBorder="1" applyAlignment="1">
      <alignment horizontal="center" vertical="center"/>
    </xf>
    <xf numFmtId="0" fontId="4" fillId="10" borderId="3" xfId="2" applyFont="1" applyFill="1" applyBorder="1" applyAlignment="1">
      <alignment vertical="center" wrapText="1"/>
    </xf>
    <xf numFmtId="0" fontId="4" fillId="10" borderId="1" xfId="2" applyFont="1" applyFill="1" applyBorder="1" applyAlignment="1">
      <alignment horizontal="center" vertical="center"/>
    </xf>
    <xf numFmtId="0" fontId="4" fillId="10" borderId="1" xfId="2" applyFont="1" applyFill="1" applyBorder="1" applyAlignment="1">
      <alignment vertical="center" wrapText="1"/>
    </xf>
    <xf numFmtId="0" fontId="11" fillId="10" borderId="1" xfId="2" applyFont="1" applyFill="1" applyBorder="1" applyAlignment="1">
      <alignment horizontal="justify" vertical="center" wrapText="1"/>
    </xf>
    <xf numFmtId="1" fontId="11" fillId="11" borderId="1" xfId="1" applyNumberFormat="1" applyFont="1" applyFill="1" applyBorder="1" applyAlignment="1" applyProtection="1">
      <alignment horizontal="center" vertical="center" wrapText="1"/>
      <protection locked="0"/>
    </xf>
    <xf numFmtId="0" fontId="4" fillId="0" borderId="9" xfId="0" applyFont="1" applyBorder="1" applyAlignment="1" applyProtection="1">
      <alignment vertical="center"/>
      <protection locked="0"/>
    </xf>
    <xf numFmtId="0" fontId="11" fillId="11" borderId="1" xfId="2" applyFont="1" applyFill="1" applyBorder="1" applyAlignment="1" applyProtection="1">
      <alignment horizontal="center" vertical="center" wrapText="1"/>
      <protection locked="0"/>
    </xf>
    <xf numFmtId="0" fontId="4" fillId="0" borderId="2" xfId="0" applyFont="1" applyBorder="1" applyAlignment="1" applyProtection="1">
      <alignment vertical="center"/>
      <protection locked="0"/>
    </xf>
    <xf numFmtId="0" fontId="4" fillId="0" borderId="3" xfId="0" applyFont="1" applyBorder="1" applyAlignment="1" applyProtection="1">
      <alignment vertical="center"/>
      <protection locked="0"/>
    </xf>
    <xf numFmtId="0" fontId="4" fillId="0" borderId="1" xfId="2" applyFont="1" applyBorder="1" applyAlignment="1" applyProtection="1">
      <alignment horizontal="center" vertical="center" wrapText="1"/>
      <protection locked="0"/>
    </xf>
    <xf numFmtId="164" fontId="11" fillId="11" borderId="1" xfId="0" applyNumberFormat="1" applyFont="1" applyFill="1" applyBorder="1" applyAlignment="1" applyProtection="1">
      <alignment horizontal="center" vertical="center" wrapText="1"/>
      <protection locked="0"/>
    </xf>
    <xf numFmtId="0" fontId="18" fillId="30" borderId="1" xfId="0" applyFont="1" applyFill="1" applyBorder="1" applyAlignment="1">
      <alignment vertical="center"/>
    </xf>
    <xf numFmtId="0" fontId="11" fillId="32" borderId="1" xfId="0" applyFont="1" applyFill="1" applyBorder="1" applyAlignment="1">
      <alignment vertical="center"/>
    </xf>
    <xf numFmtId="0" fontId="10" fillId="32" borderId="1" xfId="0" applyFont="1" applyFill="1" applyBorder="1" applyAlignment="1">
      <alignment vertical="center"/>
    </xf>
    <xf numFmtId="0" fontId="4" fillId="0" borderId="1" xfId="0" applyFont="1" applyBorder="1"/>
    <xf numFmtId="0" fontId="4" fillId="0" borderId="1" xfId="0" quotePrefix="1" applyFont="1" applyBorder="1" applyAlignment="1">
      <alignment vertical="center" wrapText="1"/>
    </xf>
    <xf numFmtId="1" fontId="11" fillId="31" borderId="1" xfId="1" applyNumberFormat="1" applyFont="1" applyFill="1" applyBorder="1" applyAlignment="1" applyProtection="1">
      <alignment horizontal="center" vertical="center" wrapText="1"/>
      <protection locked="0"/>
    </xf>
    <xf numFmtId="0" fontId="3" fillId="0" borderId="0" xfId="0" applyFont="1"/>
    <xf numFmtId="0" fontId="7" fillId="0" borderId="0" xfId="0" applyFont="1"/>
    <xf numFmtId="0" fontId="8" fillId="3" borderId="1" xfId="0" applyFont="1" applyFill="1" applyBorder="1" applyAlignment="1">
      <alignment horizontal="center" vertical="center"/>
    </xf>
    <xf numFmtId="0" fontId="7" fillId="0" borderId="1" xfId="0" applyFont="1" applyBorder="1" applyAlignment="1">
      <alignment horizontal="center"/>
    </xf>
    <xf numFmtId="0" fontId="8" fillId="4" borderId="1" xfId="0" applyFont="1" applyFill="1" applyBorder="1" applyAlignment="1">
      <alignment horizontal="center" vertical="center"/>
    </xf>
    <xf numFmtId="0" fontId="8" fillId="5" borderId="1" xfId="0" applyFont="1" applyFill="1" applyBorder="1" applyAlignment="1">
      <alignment horizontal="center" vertical="center"/>
    </xf>
    <xf numFmtId="0" fontId="8" fillId="6" borderId="1"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2" fontId="7" fillId="0" borderId="1" xfId="0" applyNumberFormat="1" applyFont="1" applyBorder="1" applyAlignment="1">
      <alignment horizontal="center" vertical="center"/>
    </xf>
    <xf numFmtId="2" fontId="7" fillId="0" borderId="1" xfId="0" applyNumberFormat="1" applyFont="1" applyBorder="1" applyAlignment="1">
      <alignment horizontal="center"/>
    </xf>
    <xf numFmtId="0" fontId="33" fillId="29" borderId="15" xfId="0" applyFont="1" applyFill="1" applyBorder="1" applyAlignment="1">
      <alignment horizontal="left"/>
    </xf>
    <xf numFmtId="0" fontId="33" fillId="29" borderId="0" xfId="0" applyFont="1" applyFill="1" applyAlignment="1">
      <alignment horizontal="left"/>
    </xf>
    <xf numFmtId="0" fontId="33" fillId="29" borderId="27" xfId="0" applyFont="1" applyFill="1" applyBorder="1" applyAlignment="1">
      <alignment horizontal="left"/>
    </xf>
    <xf numFmtId="0" fontId="33" fillId="29" borderId="11" xfId="0" applyFont="1" applyFill="1" applyBorder="1" applyAlignment="1">
      <alignment horizontal="center" wrapText="1"/>
    </xf>
    <xf numFmtId="0" fontId="33" fillId="29" borderId="12" xfId="0" applyFont="1" applyFill="1" applyBorder="1" applyAlignment="1">
      <alignment horizontal="center"/>
    </xf>
    <xf numFmtId="0" fontId="33" fillId="29" borderId="8" xfId="0" applyFont="1" applyFill="1" applyBorder="1" applyAlignment="1">
      <alignment horizontal="center"/>
    </xf>
    <xf numFmtId="0" fontId="35" fillId="0" borderId="1" xfId="0" applyFont="1" applyBorder="1"/>
    <xf numFmtId="0" fontId="35" fillId="0" borderId="1" xfId="0" applyFont="1" applyBorder="1" applyAlignment="1">
      <alignment vertical="center"/>
    </xf>
    <xf numFmtId="0" fontId="35" fillId="0" borderId="1" xfId="0" applyFont="1" applyBorder="1" applyAlignment="1" applyProtection="1">
      <alignment horizontal="justify" vertical="center" wrapText="1"/>
      <protection locked="0"/>
    </xf>
    <xf numFmtId="3" fontId="38" fillId="0" borderId="1" xfId="0" applyNumberFormat="1" applyFont="1" applyBorder="1" applyAlignment="1" applyProtection="1">
      <alignment horizontal="justify" vertical="center" wrapText="1"/>
      <protection locked="0"/>
    </xf>
    <xf numFmtId="0" fontId="38" fillId="0" borderId="1" xfId="0" applyFont="1" applyBorder="1" applyAlignment="1" applyProtection="1">
      <alignment vertical="center" wrapText="1"/>
      <protection locked="0"/>
    </xf>
    <xf numFmtId="0" fontId="38" fillId="0" borderId="1" xfId="0" applyFont="1" applyBorder="1" applyAlignment="1" applyProtection="1">
      <alignment horizontal="left" vertical="center" wrapText="1"/>
      <protection locked="0"/>
    </xf>
    <xf numFmtId="2" fontId="39" fillId="0" borderId="1" xfId="0" applyNumberFormat="1" applyFont="1" applyBorder="1" applyAlignment="1" applyProtection="1">
      <alignment horizontal="left" vertical="center" wrapText="1"/>
      <protection locked="0"/>
    </xf>
    <xf numFmtId="165" fontId="38" fillId="0" borderId="1" xfId="0" applyNumberFormat="1" applyFont="1" applyBorder="1" applyAlignment="1" applyProtection="1">
      <alignment horizontal="left" vertical="center" wrapText="1"/>
      <protection locked="0"/>
    </xf>
    <xf numFmtId="164" fontId="38" fillId="0" borderId="1" xfId="0" applyNumberFormat="1" applyFont="1" applyBorder="1" applyAlignment="1" applyProtection="1">
      <alignment horizontal="left" vertical="center" wrapText="1"/>
      <protection locked="0"/>
    </xf>
    <xf numFmtId="0" fontId="2" fillId="0" borderId="1" xfId="0" applyFont="1" applyBorder="1" applyProtection="1">
      <protection locked="0"/>
    </xf>
    <xf numFmtId="0" fontId="0" fillId="0" borderId="0" xfId="0" applyProtection="1">
      <protection locked="0"/>
    </xf>
    <xf numFmtId="0" fontId="6" fillId="2" borderId="1" xfId="0" applyFont="1" applyFill="1" applyBorder="1" applyAlignment="1">
      <alignment horizontal="center"/>
    </xf>
    <xf numFmtId="0" fontId="8" fillId="7" borderId="1" xfId="0" applyFont="1" applyFill="1" applyBorder="1" applyAlignment="1">
      <alignment horizontal="center" vertical="center"/>
    </xf>
    <xf numFmtId="0" fontId="0" fillId="0" borderId="1" xfId="0" applyBorder="1" applyAlignment="1">
      <alignment horizontal="center" vertical="center"/>
    </xf>
    <xf numFmtId="0" fontId="4" fillId="0" borderId="4" xfId="2"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2" applyFont="1" applyBorder="1" applyAlignment="1">
      <alignment horizontal="center" vertical="center"/>
    </xf>
    <xf numFmtId="49" fontId="4" fillId="13" borderId="1" xfId="1" applyNumberFormat="1" applyFont="1" applyFill="1" applyBorder="1" applyAlignment="1">
      <alignment horizontal="center" vertical="center"/>
    </xf>
    <xf numFmtId="0" fontId="5" fillId="0" borderId="1" xfId="0" applyFont="1" applyBorder="1" applyAlignment="1">
      <alignment horizontal="center" vertical="top"/>
    </xf>
    <xf numFmtId="0" fontId="4" fillId="0" borderId="3" xfId="0" applyFont="1" applyBorder="1" applyAlignment="1">
      <alignment horizontal="center" vertical="center"/>
    </xf>
    <xf numFmtId="0" fontId="4" fillId="0" borderId="1" xfId="0" applyFont="1" applyBorder="1" applyAlignment="1">
      <alignment horizontal="center" vertical="top"/>
    </xf>
    <xf numFmtId="0" fontId="5" fillId="0" borderId="1" xfId="0" applyFont="1" applyBorder="1" applyAlignment="1">
      <alignment horizontal="center" vertical="center"/>
    </xf>
    <xf numFmtId="0" fontId="10" fillId="20" borderId="1" xfId="0" applyFont="1" applyFill="1" applyBorder="1" applyAlignment="1">
      <alignment horizontal="left" vertical="top" wrapText="1"/>
    </xf>
    <xf numFmtId="0" fontId="11" fillId="22" borderId="1" xfId="0" applyFont="1" applyFill="1" applyBorder="1" applyAlignment="1">
      <alignment horizontal="left" vertical="top" wrapText="1"/>
    </xf>
    <xf numFmtId="0" fontId="4" fillId="33" borderId="1" xfId="0" applyFont="1" applyFill="1" applyBorder="1" applyAlignment="1">
      <alignment horizontal="center" vertical="center"/>
    </xf>
    <xf numFmtId="0" fontId="4" fillId="0" borderId="1" xfId="0" applyFont="1" applyBorder="1" applyAlignment="1">
      <alignment horizontal="left" vertical="center" wrapText="1"/>
    </xf>
    <xf numFmtId="0" fontId="4" fillId="0" borderId="1" xfId="2" applyFont="1" applyBorder="1" applyAlignment="1">
      <alignment horizontal="center" vertical="center"/>
    </xf>
    <xf numFmtId="0" fontId="34" fillId="0" borderId="0" xfId="0" applyFont="1" applyProtection="1">
      <protection locked="0"/>
    </xf>
    <xf numFmtId="0" fontId="36" fillId="0" borderId="0" xfId="0" applyFont="1" applyProtection="1">
      <protection locked="0"/>
    </xf>
    <xf numFmtId="0" fontId="32" fillId="0" borderId="0" xfId="0" applyFont="1" applyProtection="1">
      <protection locked="0"/>
    </xf>
    <xf numFmtId="0" fontId="0" fillId="0" borderId="0" xfId="0" applyAlignment="1" applyProtection="1">
      <alignment vertical="center"/>
      <protection locked="0"/>
    </xf>
    <xf numFmtId="0" fontId="0" fillId="0" borderId="0" xfId="0" applyAlignment="1" applyProtection="1">
      <alignment wrapText="1"/>
      <protection locked="0"/>
    </xf>
    <xf numFmtId="0" fontId="2" fillId="0" borderId="0" xfId="0" applyFont="1" applyProtection="1">
      <protection locked="0"/>
    </xf>
    <xf numFmtId="0" fontId="5" fillId="2" borderId="1" xfId="0" applyFont="1" applyFill="1" applyBorder="1" applyAlignment="1" applyProtection="1">
      <alignment horizontal="center" vertical="center" wrapText="1"/>
      <protection locked="0"/>
    </xf>
    <xf numFmtId="0" fontId="18" fillId="30" borderId="1" xfId="0" applyFont="1" applyFill="1" applyBorder="1" applyAlignment="1" applyProtection="1">
      <alignment vertical="center"/>
      <protection locked="0"/>
    </xf>
    <xf numFmtId="0" fontId="0" fillId="0" borderId="0" xfId="0" applyAlignment="1" applyProtection="1">
      <alignment horizontal="center" vertical="center"/>
      <protection locked="0"/>
    </xf>
    <xf numFmtId="0" fontId="4" fillId="0" borderId="0" xfId="0" applyFont="1" applyProtection="1">
      <protection locked="0"/>
    </xf>
    <xf numFmtId="0" fontId="15" fillId="0" borderId="0" xfId="0" applyFont="1" applyAlignment="1" applyProtection="1">
      <alignment horizontal="center" vertical="center"/>
      <protection locked="0"/>
    </xf>
    <xf numFmtId="0" fontId="15" fillId="0" borderId="0" xfId="0" applyFont="1" applyAlignment="1" applyProtection="1">
      <alignment horizontal="center" vertical="center" wrapText="1"/>
      <protection locked="0"/>
    </xf>
    <xf numFmtId="0" fontId="0" fillId="19" borderId="0" xfId="0" applyFill="1" applyProtection="1">
      <protection locked="0"/>
    </xf>
    <xf numFmtId="0" fontId="4" fillId="0" borderId="3" xfId="0" applyFont="1" applyBorder="1" applyAlignment="1" applyProtection="1">
      <alignment vertical="top"/>
      <protection locked="0"/>
    </xf>
    <xf numFmtId="0" fontId="2" fillId="0" borderId="0" xfId="0" applyFont="1" applyAlignment="1" applyProtection="1">
      <alignment horizontal="center" vertical="center"/>
      <protection locked="0"/>
    </xf>
    <xf numFmtId="0" fontId="4" fillId="0" borderId="1" xfId="0" applyFont="1" applyBorder="1" applyAlignment="1" applyProtection="1">
      <alignment vertical="top" wrapText="1"/>
      <protection locked="0"/>
    </xf>
    <xf numFmtId="0" fontId="2" fillId="0" borderId="1" xfId="0" applyFont="1" applyBorder="1" applyAlignment="1">
      <alignment horizontal="center"/>
    </xf>
    <xf numFmtId="0" fontId="15" fillId="0" borderId="1" xfId="0" applyFont="1" applyBorder="1" applyAlignment="1">
      <alignment horizontal="center"/>
    </xf>
    <xf numFmtId="0" fontId="15" fillId="15" borderId="1" xfId="0" applyFont="1" applyFill="1" applyBorder="1" applyAlignment="1">
      <alignment horizontal="center" wrapText="1"/>
    </xf>
    <xf numFmtId="0" fontId="0" fillId="0" borderId="1" xfId="0" applyBorder="1" applyAlignment="1">
      <alignment horizontal="center"/>
    </xf>
    <xf numFmtId="2" fontId="10" fillId="27" borderId="1" xfId="0" applyNumberFormat="1" applyFont="1" applyFill="1" applyBorder="1" applyAlignment="1">
      <alignment horizontal="center" vertical="center" wrapText="1"/>
    </xf>
    <xf numFmtId="2" fontId="4" fillId="7" borderId="1" xfId="0" applyNumberFormat="1" applyFont="1" applyFill="1" applyBorder="1" applyAlignment="1">
      <alignment horizontal="center" vertical="center" wrapText="1"/>
    </xf>
    <xf numFmtId="2" fontId="5" fillId="2" borderId="1" xfId="0" applyNumberFormat="1" applyFont="1" applyFill="1" applyBorder="1" applyAlignment="1">
      <alignment horizontal="center" vertical="center" wrapText="1"/>
    </xf>
    <xf numFmtId="0" fontId="31" fillId="7" borderId="2" xfId="0" applyFont="1" applyFill="1" applyBorder="1" applyAlignment="1">
      <alignment horizontal="right" vertical="center"/>
    </xf>
    <xf numFmtId="2" fontId="12" fillId="13" borderId="1" xfId="4" applyNumberFormat="1" applyFont="1" applyFill="1" applyBorder="1" applyAlignment="1" applyProtection="1">
      <alignment horizontal="center" vertical="center" wrapText="1"/>
    </xf>
    <xf numFmtId="0" fontId="4" fillId="34" borderId="1" xfId="4" applyFont="1" applyBorder="1" applyAlignment="1" applyProtection="1">
      <alignment horizontal="center" vertical="center"/>
      <protection locked="0"/>
    </xf>
    <xf numFmtId="2" fontId="4" fillId="34" borderId="1" xfId="4" applyNumberFormat="1" applyFont="1" applyBorder="1" applyAlignment="1" applyProtection="1">
      <alignment horizontal="center" vertical="center"/>
      <protection locked="0"/>
    </xf>
    <xf numFmtId="0" fontId="0" fillId="0" borderId="0" xfId="0" applyAlignment="1">
      <alignment wrapText="1"/>
    </xf>
    <xf numFmtId="0" fontId="4" fillId="0" borderId="0" xfId="0" applyFont="1" applyAlignment="1" applyProtection="1">
      <alignment wrapText="1"/>
      <protection locked="0"/>
    </xf>
    <xf numFmtId="2" fontId="12" fillId="0" borderId="1" xfId="4" applyNumberFormat="1" applyFont="1" applyFill="1" applyBorder="1" applyAlignment="1" applyProtection="1">
      <alignment horizontal="center" vertical="center" wrapText="1"/>
    </xf>
    <xf numFmtId="2" fontId="4" fillId="0" borderId="0" xfId="0" applyNumberFormat="1" applyFont="1" applyAlignment="1">
      <alignment horizontal="center"/>
    </xf>
    <xf numFmtId="0" fontId="4" fillId="0" borderId="0" xfId="0" applyFont="1" applyAlignment="1">
      <alignment horizontal="center"/>
    </xf>
    <xf numFmtId="2" fontId="4" fillId="15" borderId="0" xfId="0" applyNumberFormat="1" applyFont="1" applyFill="1" applyAlignment="1">
      <alignment horizontal="center"/>
    </xf>
    <xf numFmtId="0" fontId="0" fillId="0" borderId="1" xfId="0" applyBorder="1" applyAlignment="1" applyProtection="1">
      <alignment vertical="top"/>
      <protection locked="0"/>
    </xf>
    <xf numFmtId="0" fontId="20" fillId="0" borderId="1" xfId="0" applyFont="1" applyBorder="1" applyAlignment="1">
      <alignment horizontal="center" vertical="center" wrapText="1"/>
    </xf>
    <xf numFmtId="0" fontId="20" fillId="0" borderId="1" xfId="0" applyFont="1" applyBorder="1" applyAlignment="1" applyProtection="1">
      <alignment vertical="center" wrapText="1"/>
      <protection locked="0"/>
    </xf>
    <xf numFmtId="0" fontId="12" fillId="0" borderId="1" xfId="0" applyFont="1" applyBorder="1" applyAlignment="1" applyProtection="1">
      <alignment horizontal="center" vertical="center"/>
      <protection locked="0"/>
    </xf>
    <xf numFmtId="1" fontId="12" fillId="0" borderId="1" xfId="1" applyNumberFormat="1" applyFont="1" applyBorder="1" applyAlignment="1" applyProtection="1">
      <alignment horizontal="center" vertical="center" wrapText="1"/>
      <protection locked="0"/>
    </xf>
    <xf numFmtId="2" fontId="5" fillId="3" borderId="1" xfId="0" applyNumberFormat="1" applyFont="1" applyFill="1" applyBorder="1" applyAlignment="1">
      <alignment horizontal="center" vertical="center" wrapText="1"/>
    </xf>
    <xf numFmtId="2" fontId="10" fillId="14" borderId="1" xfId="0" applyNumberFormat="1" applyFont="1" applyFill="1" applyBorder="1" applyAlignment="1">
      <alignment horizontal="center" vertical="center"/>
    </xf>
    <xf numFmtId="2" fontId="4" fillId="9" borderId="5" xfId="0" applyNumberFormat="1" applyFont="1" applyFill="1" applyBorder="1" applyAlignment="1">
      <alignment vertical="center"/>
    </xf>
    <xf numFmtId="2" fontId="4" fillId="10" borderId="1" xfId="0" applyNumberFormat="1" applyFont="1" applyFill="1" applyBorder="1" applyAlignment="1">
      <alignment vertical="center"/>
    </xf>
    <xf numFmtId="2" fontId="11" fillId="0" borderId="1" xfId="0" applyNumberFormat="1" applyFont="1" applyBorder="1" applyAlignment="1">
      <alignment horizontal="center" vertical="center" wrapText="1"/>
    </xf>
    <xf numFmtId="2" fontId="11" fillId="12" borderId="2" xfId="0" applyNumberFormat="1" applyFont="1" applyFill="1" applyBorder="1" applyAlignment="1">
      <alignment horizontal="center" vertical="center" wrapText="1"/>
    </xf>
    <xf numFmtId="2" fontId="5" fillId="10" borderId="1" xfId="0" applyNumberFormat="1" applyFont="1" applyFill="1" applyBorder="1" applyAlignment="1">
      <alignment horizontal="center" vertical="center"/>
    </xf>
    <xf numFmtId="2" fontId="4" fillId="0" borderId="1" xfId="0" applyNumberFormat="1" applyFont="1" applyBorder="1" applyAlignment="1">
      <alignment vertical="center"/>
    </xf>
    <xf numFmtId="2" fontId="5" fillId="9" borderId="5" xfId="0" applyNumberFormat="1" applyFont="1" applyFill="1" applyBorder="1" applyAlignment="1">
      <alignment vertical="center" wrapText="1"/>
    </xf>
    <xf numFmtId="2" fontId="4" fillId="10" borderId="7" xfId="0" applyNumberFormat="1" applyFont="1" applyFill="1" applyBorder="1" applyAlignment="1">
      <alignment vertical="center"/>
    </xf>
    <xf numFmtId="2" fontId="11" fillId="0" borderId="13" xfId="0" applyNumberFormat="1" applyFont="1" applyBorder="1" applyAlignment="1">
      <alignment horizontal="center" vertical="center" wrapText="1"/>
    </xf>
    <xf numFmtId="2" fontId="11" fillId="12" borderId="1" xfId="0" applyNumberFormat="1" applyFont="1" applyFill="1" applyBorder="1" applyAlignment="1">
      <alignment horizontal="center" vertical="center" wrapText="1"/>
    </xf>
    <xf numFmtId="2" fontId="5" fillId="9" borderId="12" xfId="0" applyNumberFormat="1" applyFont="1" applyFill="1" applyBorder="1" applyAlignment="1">
      <alignment vertical="center" wrapText="1"/>
    </xf>
    <xf numFmtId="2" fontId="4" fillId="10" borderId="11" xfId="0" applyNumberFormat="1" applyFont="1" applyFill="1" applyBorder="1" applyAlignment="1">
      <alignment vertical="center"/>
    </xf>
    <xf numFmtId="2" fontId="4" fillId="0" borderId="1" xfId="2" applyNumberFormat="1" applyFont="1" applyBorder="1" applyAlignment="1">
      <alignment horizontal="center" vertical="center" wrapText="1"/>
    </xf>
    <xf numFmtId="2" fontId="10" fillId="14" borderId="9" xfId="0" applyNumberFormat="1" applyFont="1" applyFill="1" applyBorder="1" applyAlignment="1">
      <alignment horizontal="center" vertical="center"/>
    </xf>
    <xf numFmtId="2" fontId="5" fillId="9" borderId="5" xfId="2" applyNumberFormat="1" applyFont="1" applyFill="1" applyBorder="1" applyAlignment="1">
      <alignment horizontal="center" vertical="center" wrapText="1"/>
    </xf>
    <xf numFmtId="2" fontId="4" fillId="10" borderId="3" xfId="2" applyNumberFormat="1" applyFont="1" applyFill="1" applyBorder="1" applyAlignment="1">
      <alignment horizontal="center" vertical="center" wrapText="1"/>
    </xf>
    <xf numFmtId="2" fontId="4" fillId="0" borderId="1" xfId="2" applyNumberFormat="1" applyFont="1" applyBorder="1" applyAlignment="1">
      <alignment vertical="center" wrapText="1"/>
    </xf>
    <xf numFmtId="2" fontId="5" fillId="12" borderId="1" xfId="0" applyNumberFormat="1" applyFont="1" applyFill="1" applyBorder="1" applyAlignment="1">
      <alignment horizontal="center" vertical="center"/>
    </xf>
    <xf numFmtId="2" fontId="5" fillId="10" borderId="1" xfId="2" applyNumberFormat="1" applyFont="1" applyFill="1" applyBorder="1" applyAlignment="1">
      <alignment horizontal="center" vertical="center" wrapText="1"/>
    </xf>
    <xf numFmtId="2" fontId="4" fillId="9" borderId="5" xfId="2" applyNumberFormat="1" applyFont="1" applyFill="1" applyBorder="1" applyAlignment="1">
      <alignment horizontal="center" vertical="center"/>
    </xf>
    <xf numFmtId="2" fontId="4" fillId="10" borderId="3" xfId="2" applyNumberFormat="1" applyFont="1" applyFill="1" applyBorder="1" applyAlignment="1">
      <alignment horizontal="center" vertical="center"/>
    </xf>
    <xf numFmtId="2" fontId="4" fillId="10" borderId="6" xfId="0" applyNumberFormat="1" applyFont="1" applyFill="1" applyBorder="1" applyAlignment="1">
      <alignment vertical="center"/>
    </xf>
    <xf numFmtId="2" fontId="13" fillId="4" borderId="1" xfId="0" applyNumberFormat="1" applyFont="1" applyFill="1" applyBorder="1" applyAlignment="1">
      <alignment horizontal="center" vertical="center" wrapText="1"/>
    </xf>
    <xf numFmtId="2" fontId="10" fillId="16" borderId="5" xfId="0" applyNumberFormat="1" applyFont="1" applyFill="1" applyBorder="1" applyAlignment="1">
      <alignment horizontal="center" vertical="center"/>
    </xf>
    <xf numFmtId="2" fontId="10" fillId="20" borderId="1" xfId="0" applyNumberFormat="1" applyFont="1" applyFill="1" applyBorder="1" applyAlignment="1">
      <alignment horizontal="center" vertical="top"/>
    </xf>
    <xf numFmtId="2" fontId="4" fillId="0" borderId="1" xfId="0" applyNumberFormat="1" applyFont="1" applyBorder="1" applyAlignment="1">
      <alignment horizontal="center" vertical="top"/>
    </xf>
    <xf numFmtId="2" fontId="5" fillId="19" borderId="1" xfId="0" applyNumberFormat="1" applyFont="1" applyFill="1" applyBorder="1" applyAlignment="1">
      <alignment horizontal="center" vertical="top"/>
    </xf>
    <xf numFmtId="2" fontId="2" fillId="0" borderId="1" xfId="0" applyNumberFormat="1" applyFont="1" applyBorder="1" applyAlignment="1">
      <alignment horizontal="center" vertical="center"/>
    </xf>
    <xf numFmtId="2" fontId="5" fillId="5" borderId="1" xfId="0" applyNumberFormat="1" applyFont="1" applyFill="1" applyBorder="1" applyAlignment="1">
      <alignment horizontal="center" vertical="top"/>
    </xf>
    <xf numFmtId="2" fontId="10" fillId="16" borderId="6" xfId="0" applyNumberFormat="1" applyFont="1" applyFill="1" applyBorder="1" applyAlignment="1">
      <alignment horizontal="center" vertical="center"/>
    </xf>
    <xf numFmtId="2" fontId="4" fillId="19" borderId="1" xfId="0" applyNumberFormat="1" applyFont="1" applyFill="1" applyBorder="1" applyAlignment="1">
      <alignment vertical="center"/>
    </xf>
    <xf numFmtId="2" fontId="4" fillId="0" borderId="1" xfId="0" applyNumberFormat="1" applyFont="1" applyBorder="1" applyAlignment="1">
      <alignment vertical="center" wrapText="1"/>
    </xf>
    <xf numFmtId="2" fontId="5" fillId="0" borderId="1" xfId="0" applyNumberFormat="1" applyFont="1" applyBorder="1" applyAlignment="1">
      <alignment horizontal="center" vertical="center" wrapText="1"/>
    </xf>
    <xf numFmtId="2" fontId="18" fillId="5" borderId="1" xfId="0" applyNumberFormat="1" applyFont="1" applyFill="1" applyBorder="1" applyAlignment="1">
      <alignment horizontal="center" vertical="center" wrapText="1"/>
    </xf>
    <xf numFmtId="2" fontId="11" fillId="23" borderId="5" xfId="0" applyNumberFormat="1" applyFont="1" applyFill="1" applyBorder="1" applyAlignment="1">
      <alignment horizontal="center" vertical="center"/>
    </xf>
    <xf numFmtId="2" fontId="11" fillId="21" borderId="1" xfId="0" applyNumberFormat="1" applyFont="1" applyFill="1" applyBorder="1" applyAlignment="1">
      <alignment horizontal="center" vertical="center"/>
    </xf>
    <xf numFmtId="2" fontId="11" fillId="22" borderId="1" xfId="0" applyNumberFormat="1" applyFont="1" applyFill="1" applyBorder="1" applyAlignment="1">
      <alignment horizontal="center" vertical="center"/>
    </xf>
    <xf numFmtId="2" fontId="5" fillId="24" borderId="1" xfId="0" applyNumberFormat="1" applyFont="1" applyFill="1" applyBorder="1" applyAlignment="1">
      <alignment horizontal="center" vertical="center"/>
    </xf>
    <xf numFmtId="2" fontId="5" fillId="0" borderId="2" xfId="0" applyNumberFormat="1" applyFont="1" applyBorder="1" applyAlignment="1">
      <alignment horizontal="center" vertical="center"/>
    </xf>
    <xf numFmtId="2" fontId="5" fillId="0" borderId="3" xfId="0" applyNumberFormat="1" applyFont="1" applyBorder="1" applyAlignment="1">
      <alignment horizontal="center" vertical="center"/>
    </xf>
    <xf numFmtId="2" fontId="11" fillId="23" borderId="1" xfId="0" applyNumberFormat="1" applyFont="1" applyFill="1" applyBorder="1" applyAlignment="1">
      <alignment horizontal="center" vertical="center"/>
    </xf>
    <xf numFmtId="0" fontId="4" fillId="0" borderId="1" xfId="1" applyFont="1" applyBorder="1" applyAlignment="1">
      <alignment horizontal="left" vertical="center" wrapText="1"/>
    </xf>
    <xf numFmtId="0" fontId="4" fillId="0" borderId="1" xfId="2" applyFont="1" applyBorder="1" applyAlignment="1">
      <alignment vertical="center"/>
    </xf>
    <xf numFmtId="0" fontId="49" fillId="0" borderId="1" xfId="1" applyFont="1" applyBorder="1" applyAlignment="1">
      <alignment horizontal="justify" vertical="center" wrapText="1"/>
    </xf>
    <xf numFmtId="0" fontId="50" fillId="0" borderId="1" xfId="0" applyFont="1" applyBorder="1" applyAlignment="1">
      <alignment horizontal="center" vertical="top"/>
    </xf>
    <xf numFmtId="0" fontId="11" fillId="19" borderId="1" xfId="0" applyFont="1" applyFill="1" applyBorder="1" applyAlignment="1">
      <alignment horizontal="center" vertical="top"/>
    </xf>
    <xf numFmtId="0" fontId="12" fillId="0" borderId="1" xfId="0" applyFont="1" applyBorder="1" applyAlignment="1">
      <alignment horizontal="center" vertical="top"/>
    </xf>
    <xf numFmtId="0" fontId="12" fillId="0" borderId="19" xfId="0" applyFont="1" applyBorder="1" applyAlignment="1">
      <alignment horizontal="center" vertical="top"/>
    </xf>
    <xf numFmtId="0" fontId="0" fillId="8" borderId="1" xfId="0" applyFill="1" applyBorder="1" applyProtection="1">
      <protection locked="0"/>
    </xf>
    <xf numFmtId="0" fontId="6" fillId="0" borderId="1" xfId="0" applyFont="1" applyBorder="1" applyAlignment="1">
      <alignment horizontal="center" vertical="center"/>
    </xf>
    <xf numFmtId="0" fontId="32" fillId="0" borderId="1" xfId="0" applyFont="1" applyBorder="1" applyAlignment="1">
      <alignment horizontal="left" vertical="center" wrapText="1"/>
    </xf>
    <xf numFmtId="0" fontId="32" fillId="0" borderId="1" xfId="0" applyFont="1" applyBorder="1" applyAlignment="1">
      <alignment horizontal="left" vertical="top" wrapText="1"/>
    </xf>
    <xf numFmtId="0" fontId="39" fillId="0" borderId="1" xfId="0" applyFont="1" applyBorder="1" applyAlignment="1">
      <alignment horizontal="left" vertical="center" wrapText="1"/>
    </xf>
    <xf numFmtId="0" fontId="33" fillId="0" borderId="1" xfId="0" applyFont="1" applyBorder="1" applyAlignment="1" applyProtection="1">
      <alignment horizontal="center"/>
      <protection locked="0"/>
    </xf>
    <xf numFmtId="0" fontId="35" fillId="0" borderId="3" xfId="0" applyFont="1" applyBorder="1" applyAlignment="1">
      <alignment horizontal="left" vertical="center"/>
    </xf>
    <xf numFmtId="0" fontId="35" fillId="0" borderId="1" xfId="0" applyFont="1" applyBorder="1" applyAlignment="1">
      <alignment horizontal="left" vertical="center"/>
    </xf>
    <xf numFmtId="0" fontId="6" fillId="2" borderId="1" xfId="0" applyFont="1" applyFill="1" applyBorder="1" applyAlignment="1">
      <alignment horizontal="center"/>
    </xf>
    <xf numFmtId="0" fontId="8" fillId="7" borderId="1" xfId="0" applyFont="1" applyFill="1" applyBorder="1" applyAlignment="1">
      <alignment horizontal="center" vertical="center"/>
    </xf>
    <xf numFmtId="0" fontId="3" fillId="2" borderId="1" xfId="0" applyFont="1" applyFill="1" applyBorder="1" applyAlignment="1">
      <alignment horizontal="center"/>
    </xf>
    <xf numFmtId="0" fontId="11" fillId="32" borderId="1" xfId="0" applyFont="1" applyFill="1" applyBorder="1" applyAlignment="1">
      <alignment horizontal="left" vertical="center"/>
    </xf>
    <xf numFmtId="0" fontId="13" fillId="30" borderId="1" xfId="0" applyFont="1" applyFill="1" applyBorder="1" applyAlignment="1">
      <alignment horizontal="center" vertical="center"/>
    </xf>
    <xf numFmtId="0" fontId="5" fillId="2" borderId="1" xfId="0" applyFont="1" applyFill="1" applyBorder="1" applyAlignment="1">
      <alignment horizontal="center" vertical="center"/>
    </xf>
    <xf numFmtId="0" fontId="0" fillId="0" borderId="1" xfId="0" applyBorder="1" applyAlignment="1">
      <alignment horizontal="center" vertical="center"/>
    </xf>
    <xf numFmtId="0" fontId="0" fillId="0" borderId="15" xfId="0" applyBorder="1" applyAlignment="1" applyProtection="1">
      <alignment horizontal="left"/>
      <protection locked="0"/>
    </xf>
    <xf numFmtId="0" fontId="0" fillId="0" borderId="0" xfId="0" applyAlignment="1" applyProtection="1">
      <alignment horizontal="left"/>
      <protection locked="0"/>
    </xf>
    <xf numFmtId="0" fontId="0" fillId="15" borderId="1" xfId="0" applyFill="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4" fillId="0" borderId="4" xfId="2" applyFont="1" applyBorder="1" applyAlignment="1">
      <alignment horizontal="center" vertical="center"/>
    </xf>
    <xf numFmtId="0" fontId="4" fillId="0" borderId="15" xfId="2" applyFont="1" applyBorder="1" applyAlignment="1">
      <alignment horizontal="center" vertical="center"/>
    </xf>
    <xf numFmtId="0" fontId="4" fillId="0" borderId="2" xfId="2" applyFont="1" applyBorder="1" applyAlignment="1">
      <alignment horizontal="left" vertical="top" wrapText="1"/>
    </xf>
    <xf numFmtId="0" fontId="4" fillId="0" borderId="3" xfId="2" applyFont="1" applyBorder="1" applyAlignment="1">
      <alignment horizontal="left" vertical="top" wrapText="1"/>
    </xf>
    <xf numFmtId="0" fontId="4" fillId="0" borderId="1" xfId="0" applyFont="1" applyBorder="1" applyAlignment="1">
      <alignment horizontal="center" vertical="center" wrapText="1"/>
    </xf>
    <xf numFmtId="2" fontId="5" fillId="0" borderId="1" xfId="0" applyNumberFormat="1" applyFont="1" applyBorder="1" applyAlignment="1">
      <alignment horizontal="center" vertical="center"/>
    </xf>
    <xf numFmtId="2" fontId="5" fillId="0" borderId="7" xfId="0" applyNumberFormat="1" applyFont="1" applyBorder="1" applyAlignment="1">
      <alignment horizontal="center" vertical="center"/>
    </xf>
    <xf numFmtId="0" fontId="10" fillId="14" borderId="1" xfId="0" applyFont="1" applyFill="1" applyBorder="1" applyAlignment="1">
      <alignment horizontal="left" vertical="center" wrapText="1"/>
    </xf>
    <xf numFmtId="0" fontId="5" fillId="12" borderId="7" xfId="2" applyFont="1" applyFill="1" applyBorder="1" applyAlignment="1">
      <alignment horizontal="right" vertical="center" wrapText="1"/>
    </xf>
    <xf numFmtId="0" fontId="5" fillId="12" borderId="5" xfId="2" applyFont="1" applyFill="1" applyBorder="1" applyAlignment="1">
      <alignment horizontal="right" vertical="center" wrapText="1"/>
    </xf>
    <xf numFmtId="0" fontId="5" fillId="9" borderId="7" xfId="2" applyFont="1" applyFill="1" applyBorder="1" applyAlignment="1">
      <alignment horizontal="left" vertical="center"/>
    </xf>
    <xf numFmtId="0" fontId="5" fillId="9" borderId="6" xfId="2"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2" fontId="5" fillId="0" borderId="2" xfId="0" applyNumberFormat="1" applyFont="1" applyBorder="1" applyAlignment="1">
      <alignment horizontal="center" vertical="center"/>
    </xf>
    <xf numFmtId="2" fontId="5" fillId="0" borderId="3" xfId="0" applyNumberFormat="1" applyFont="1" applyBorder="1" applyAlignment="1">
      <alignment horizontal="center" vertical="center"/>
    </xf>
    <xf numFmtId="0" fontId="5" fillId="12" borderId="1" xfId="2" applyFont="1" applyFill="1" applyBorder="1" applyAlignment="1">
      <alignment horizontal="right" vertical="center" wrapText="1"/>
    </xf>
    <xf numFmtId="0" fontId="18" fillId="3" borderId="7" xfId="0" applyFont="1" applyFill="1" applyBorder="1" applyAlignment="1">
      <alignment horizontal="center"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4" fillId="0" borderId="2" xfId="2" applyFont="1" applyBorder="1" applyAlignment="1">
      <alignment horizontal="center" vertical="center"/>
    </xf>
    <xf numFmtId="0" fontId="4" fillId="0" borderId="10"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wrapText="1"/>
    </xf>
    <xf numFmtId="0" fontId="4" fillId="0" borderId="3" xfId="2" applyFont="1" applyBorder="1" applyAlignment="1">
      <alignment horizontal="center" vertical="center" wrapText="1"/>
    </xf>
    <xf numFmtId="49" fontId="4" fillId="13" borderId="2" xfId="1" applyNumberFormat="1" applyFont="1" applyFill="1" applyBorder="1" applyAlignment="1">
      <alignment horizontal="center" vertical="center"/>
    </xf>
    <xf numFmtId="49" fontId="4" fillId="13" borderId="10" xfId="1" applyNumberFormat="1" applyFont="1" applyFill="1" applyBorder="1" applyAlignment="1">
      <alignment horizontal="center" vertical="center"/>
    </xf>
    <xf numFmtId="49" fontId="4" fillId="13" borderId="1" xfId="1" applyNumberFormat="1" applyFont="1" applyFill="1" applyBorder="1" applyAlignment="1">
      <alignment horizontal="center" vertical="center"/>
    </xf>
    <xf numFmtId="0" fontId="4" fillId="13" borderId="2" xfId="1" applyFont="1" applyFill="1" applyBorder="1" applyAlignment="1">
      <alignment horizontal="left" vertical="center" wrapText="1"/>
    </xf>
    <xf numFmtId="0" fontId="4" fillId="13" borderId="3" xfId="1" applyFont="1" applyFill="1" applyBorder="1" applyAlignment="1">
      <alignment horizontal="left" vertical="center" wrapText="1"/>
    </xf>
    <xf numFmtId="0" fontId="10" fillId="14" borderId="7" xfId="0" applyFont="1" applyFill="1" applyBorder="1" applyAlignment="1">
      <alignment horizontal="left" vertical="center"/>
    </xf>
    <xf numFmtId="0" fontId="10" fillId="14" borderId="5" xfId="0" applyFont="1" applyFill="1" applyBorder="1" applyAlignment="1">
      <alignment horizontal="left" vertical="center"/>
    </xf>
    <xf numFmtId="0" fontId="10" fillId="14" borderId="6" xfId="0" applyFont="1" applyFill="1" applyBorder="1" applyAlignment="1">
      <alignment horizontal="left" vertical="center"/>
    </xf>
    <xf numFmtId="0" fontId="5" fillId="12" borderId="6" xfId="2" applyFont="1" applyFill="1" applyBorder="1" applyAlignment="1">
      <alignment horizontal="right" vertical="center" wrapText="1"/>
    </xf>
    <xf numFmtId="0" fontId="5" fillId="0" borderId="1" xfId="0" applyFont="1" applyBorder="1" applyAlignment="1" applyProtection="1">
      <alignment horizontal="center" vertical="top"/>
      <protection locked="0"/>
    </xf>
    <xf numFmtId="0" fontId="5" fillId="33" borderId="7" xfId="0" applyFont="1" applyFill="1" applyBorder="1" applyAlignment="1">
      <alignment horizontal="center" vertical="center"/>
    </xf>
    <xf numFmtId="0" fontId="5" fillId="33" borderId="1" xfId="0" applyFont="1" applyFill="1" applyBorder="1" applyAlignment="1">
      <alignment horizontal="center" vertical="center"/>
    </xf>
    <xf numFmtId="0" fontId="5" fillId="0" borderId="7" xfId="0" applyFont="1" applyBorder="1" applyAlignment="1">
      <alignment horizontal="center" vertical="top"/>
    </xf>
    <xf numFmtId="0" fontId="5" fillId="0" borderId="1" xfId="0" applyFont="1" applyBorder="1" applyAlignment="1">
      <alignment horizontal="center" vertical="top"/>
    </xf>
    <xf numFmtId="0" fontId="4" fillId="0" borderId="2"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2" fontId="5" fillId="0" borderId="10" xfId="0" applyNumberFormat="1" applyFont="1" applyBorder="1" applyAlignment="1">
      <alignment horizontal="center" vertical="center"/>
    </xf>
    <xf numFmtId="0" fontId="5" fillId="0" borderId="2"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5" borderId="7" xfId="2" applyFont="1" applyFill="1" applyBorder="1" applyAlignment="1">
      <alignment horizontal="right" vertical="center" wrapText="1"/>
    </xf>
    <xf numFmtId="0" fontId="5" fillId="5" borderId="5" xfId="2" applyFont="1" applyFill="1" applyBorder="1" applyAlignment="1">
      <alignment horizontal="right" vertical="center" wrapText="1"/>
    </xf>
    <xf numFmtId="0" fontId="5" fillId="5" borderId="6" xfId="2" applyFont="1" applyFill="1" applyBorder="1" applyAlignment="1">
      <alignment horizontal="right" vertical="center" wrapText="1"/>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5" fillId="0" borderId="3" xfId="0" applyFont="1" applyBorder="1" applyAlignment="1">
      <alignment horizontal="center" vertical="center"/>
    </xf>
    <xf numFmtId="0" fontId="12" fillId="0" borderId="5" xfId="0" applyFont="1" applyBorder="1" applyAlignment="1">
      <alignment horizontal="left" vertical="top" wrapText="1"/>
    </xf>
    <xf numFmtId="0" fontId="10" fillId="20" borderId="5" xfId="0" applyFont="1" applyFill="1" applyBorder="1" applyAlignment="1">
      <alignment horizontal="left" vertical="top"/>
    </xf>
    <xf numFmtId="0" fontId="10" fillId="20" borderId="6" xfId="0" applyFont="1" applyFill="1" applyBorder="1" applyAlignment="1">
      <alignment horizontal="left" vertical="top"/>
    </xf>
    <xf numFmtId="0" fontId="4" fillId="0" borderId="5" xfId="0" applyFont="1" applyBorder="1" applyAlignment="1">
      <alignment horizontal="left" vertical="top"/>
    </xf>
    <xf numFmtId="0" fontId="5" fillId="19" borderId="9" xfId="0" applyFont="1" applyFill="1" applyBorder="1" applyAlignment="1">
      <alignment horizontal="left" vertical="top"/>
    </xf>
    <xf numFmtId="0" fontId="5" fillId="19" borderId="2" xfId="0" applyFont="1" applyFill="1" applyBorder="1" applyAlignment="1">
      <alignment horizontal="left" vertical="top"/>
    </xf>
    <xf numFmtId="0" fontId="5" fillId="19" borderId="1" xfId="0" applyFont="1" applyFill="1" applyBorder="1" applyAlignment="1">
      <alignment horizontal="left" vertical="top"/>
    </xf>
    <xf numFmtId="0" fontId="4" fillId="0" borderId="5" xfId="0" applyFont="1" applyBorder="1" applyAlignment="1">
      <alignment horizontal="left" vertical="top" wrapText="1"/>
    </xf>
    <xf numFmtId="0" fontId="4" fillId="0" borderId="2" xfId="0" applyFont="1" applyBorder="1" applyAlignment="1">
      <alignment horizontal="center" vertical="center"/>
    </xf>
    <xf numFmtId="0" fontId="4" fillId="0" borderId="10" xfId="0" applyFont="1" applyBorder="1" applyAlignment="1">
      <alignment horizontal="center" vertical="center"/>
    </xf>
    <xf numFmtId="0" fontId="4" fillId="0" borderId="3" xfId="0" applyFont="1" applyBorder="1" applyAlignment="1">
      <alignment horizontal="center" vertical="center"/>
    </xf>
    <xf numFmtId="0" fontId="12" fillId="0" borderId="7" xfId="0" applyFont="1" applyBorder="1" applyAlignment="1">
      <alignment horizontal="left" vertical="top" wrapText="1"/>
    </xf>
    <xf numFmtId="0" fontId="4" fillId="0" borderId="7" xfId="0" applyFont="1" applyBorder="1" applyAlignment="1">
      <alignment horizontal="left" vertical="top" wrapText="1"/>
    </xf>
    <xf numFmtId="0" fontId="4" fillId="0" borderId="9" xfId="0" applyFont="1" applyBorder="1" applyAlignment="1">
      <alignment horizontal="left" vertical="top" wrapText="1"/>
    </xf>
    <xf numFmtId="0" fontId="4" fillId="0" borderId="12" xfId="0" applyFont="1" applyBorder="1" applyAlignment="1">
      <alignment horizontal="left" vertical="top" wrapText="1"/>
    </xf>
    <xf numFmtId="0" fontId="4" fillId="0" borderId="10" xfId="0" applyFont="1" applyBorder="1" applyAlignment="1">
      <alignment horizontal="center" vertical="center" wrapText="1"/>
    </xf>
    <xf numFmtId="0" fontId="5" fillId="18" borderId="16" xfId="0" applyFont="1" applyFill="1" applyBorder="1" applyAlignment="1">
      <alignment horizontal="left" vertical="top"/>
    </xf>
    <xf numFmtId="0" fontId="5" fillId="18" borderId="17" xfId="0" applyFont="1" applyFill="1" applyBorder="1" applyAlignment="1">
      <alignment horizontal="left" vertical="top"/>
    </xf>
    <xf numFmtId="0" fontId="4" fillId="0" borderId="1" xfId="0" applyFont="1" applyBorder="1" applyAlignment="1">
      <alignment horizontal="center" vertical="top"/>
    </xf>
    <xf numFmtId="0" fontId="4" fillId="17" borderId="2" xfId="0" applyFont="1" applyFill="1" applyBorder="1" applyAlignment="1" applyProtection="1">
      <alignment horizontal="center" vertical="center"/>
      <protection locked="0"/>
    </xf>
    <xf numFmtId="0" fontId="4" fillId="17" borderId="10"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left" vertical="top" wrapText="1"/>
    </xf>
    <xf numFmtId="0" fontId="4" fillId="0" borderId="14" xfId="0" applyFont="1" applyBorder="1" applyAlignment="1">
      <alignment horizontal="left" vertical="top" wrapText="1"/>
    </xf>
    <xf numFmtId="0" fontId="4" fillId="0" borderId="11" xfId="0" applyFont="1" applyBorder="1" applyAlignment="1">
      <alignment horizontal="left" vertical="top" wrapText="1"/>
    </xf>
    <xf numFmtId="0" fontId="4" fillId="0" borderId="8" xfId="0" applyFont="1" applyBorder="1" applyAlignment="1">
      <alignment horizontal="left" vertical="top" wrapText="1"/>
    </xf>
    <xf numFmtId="0" fontId="4" fillId="0" borderId="5" xfId="0" applyFont="1" applyBorder="1" applyAlignment="1">
      <alignment horizontal="left" vertical="center" wrapText="1"/>
    </xf>
    <xf numFmtId="2" fontId="5" fillId="0" borderId="2" xfId="0" applyNumberFormat="1" applyFont="1" applyBorder="1" applyAlignment="1">
      <alignment horizontal="center" vertical="center" wrapText="1"/>
    </xf>
    <xf numFmtId="2" fontId="5" fillId="0" borderId="3" xfId="0" applyNumberFormat="1" applyFont="1" applyBorder="1" applyAlignment="1">
      <alignment horizontal="center" vertical="center" wrapText="1"/>
    </xf>
    <xf numFmtId="0" fontId="53" fillId="0" borderId="0" xfId="0" applyFont="1" applyAlignment="1">
      <alignment horizontal="left" vertical="top" wrapText="1"/>
    </xf>
    <xf numFmtId="0" fontId="5" fillId="0" borderId="23" xfId="0" applyFont="1" applyBorder="1" applyAlignment="1">
      <alignment horizontal="center" vertical="top"/>
    </xf>
    <xf numFmtId="0" fontId="5" fillId="0" borderId="24" xfId="0" applyFont="1" applyBorder="1" applyAlignment="1">
      <alignment horizontal="center" vertical="top"/>
    </xf>
    <xf numFmtId="0" fontId="10" fillId="20" borderId="7" xfId="0" applyFont="1" applyFill="1" applyBorder="1" applyAlignment="1">
      <alignment horizontal="left" vertical="top"/>
    </xf>
    <xf numFmtId="0" fontId="4" fillId="0" borderId="24" xfId="0" applyFont="1" applyBorder="1" applyAlignment="1">
      <alignment horizontal="center" vertical="top" wrapText="1"/>
    </xf>
    <xf numFmtId="0" fontId="4" fillId="0" borderId="25" xfId="0" applyFont="1" applyBorder="1" applyAlignment="1">
      <alignment horizontal="center" vertical="top" wrapText="1"/>
    </xf>
    <xf numFmtId="0" fontId="4" fillId="0" borderId="22" xfId="0" applyFont="1" applyBorder="1" applyAlignment="1">
      <alignment horizontal="center" vertical="top" wrapText="1"/>
    </xf>
    <xf numFmtId="0" fontId="4" fillId="0" borderId="7" xfId="0" applyFont="1" applyBorder="1" applyAlignment="1">
      <alignment horizontal="center" vertical="center"/>
    </xf>
    <xf numFmtId="0" fontId="4" fillId="0" borderId="15" xfId="0" applyFont="1" applyBorder="1" applyAlignment="1">
      <alignment horizontal="center" vertical="center"/>
    </xf>
    <xf numFmtId="0" fontId="4" fillId="33" borderId="2" xfId="0" applyFont="1" applyFill="1" applyBorder="1" applyAlignment="1">
      <alignment horizontal="center" vertical="center"/>
    </xf>
    <xf numFmtId="0" fontId="4" fillId="33" borderId="10" xfId="0" applyFont="1" applyFill="1" applyBorder="1" applyAlignment="1">
      <alignment horizontal="center" vertical="center"/>
    </xf>
    <xf numFmtId="0" fontId="4" fillId="33" borderId="3" xfId="0" applyFont="1" applyFill="1" applyBorder="1" applyAlignment="1">
      <alignment horizontal="center" vertical="center"/>
    </xf>
    <xf numFmtId="0" fontId="4" fillId="0" borderId="18" xfId="0" applyFont="1" applyBorder="1" applyAlignment="1">
      <alignment horizontal="center" vertical="center" wrapText="1"/>
    </xf>
    <xf numFmtId="0" fontId="4" fillId="0" borderId="20" xfId="0" applyFont="1" applyBorder="1" applyAlignment="1">
      <alignment horizontal="center" vertical="center" wrapText="1"/>
    </xf>
    <xf numFmtId="0" fontId="5" fillId="2" borderId="7"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10" fillId="16" borderId="7" xfId="0" applyFont="1" applyFill="1" applyBorder="1" applyAlignment="1">
      <alignment horizontal="left" vertical="top"/>
    </xf>
    <xf numFmtId="0" fontId="10" fillId="16" borderId="5" xfId="0" applyFont="1" applyFill="1" applyBorder="1" applyAlignment="1">
      <alignment horizontal="left" vertical="top"/>
    </xf>
    <xf numFmtId="0" fontId="12" fillId="0" borderId="1" xfId="0" applyFont="1" applyBorder="1" applyAlignment="1">
      <alignment horizontal="left" vertical="top" wrapText="1"/>
    </xf>
    <xf numFmtId="0" fontId="10" fillId="20" borderId="1" xfId="0" applyFont="1" applyFill="1" applyBorder="1" applyAlignment="1">
      <alignment horizontal="left" vertical="top" wrapText="1"/>
    </xf>
    <xf numFmtId="0" fontId="11" fillId="0" borderId="7" xfId="0" applyFont="1" applyBorder="1" applyAlignment="1">
      <alignment horizontal="left" vertical="top" wrapText="1"/>
    </xf>
    <xf numFmtId="0" fontId="12" fillId="0" borderId="6" xfId="0" applyFont="1" applyBorder="1" applyAlignment="1">
      <alignment horizontal="left" vertical="top" wrapText="1"/>
    </xf>
    <xf numFmtId="0" fontId="4" fillId="0" borderId="1" xfId="0" applyFont="1" applyBorder="1" applyAlignment="1">
      <alignment horizontal="left" vertical="top" wrapText="1"/>
    </xf>
    <xf numFmtId="0" fontId="8" fillId="4" borderId="7"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6" xfId="0" applyFont="1" applyFill="1" applyBorder="1" applyAlignment="1">
      <alignment horizontal="center" vertical="center"/>
    </xf>
    <xf numFmtId="0" fontId="4" fillId="19" borderId="5" xfId="0" applyFont="1" applyFill="1" applyBorder="1" applyAlignment="1">
      <alignment horizontal="left" vertical="top" wrapText="1"/>
    </xf>
    <xf numFmtId="0" fontId="5" fillId="24" borderId="1" xfId="0" applyFont="1" applyFill="1" applyBorder="1" applyAlignment="1">
      <alignment horizontal="right" vertical="center"/>
    </xf>
    <xf numFmtId="0" fontId="11" fillId="22" borderId="5" xfId="0" applyFont="1" applyFill="1" applyBorder="1" applyAlignment="1">
      <alignment horizontal="left" vertical="top" wrapText="1"/>
    </xf>
    <xf numFmtId="0" fontId="4" fillId="0" borderId="6" xfId="0" applyFont="1" applyBorder="1" applyAlignment="1">
      <alignment horizontal="left" vertical="top" wrapText="1"/>
    </xf>
    <xf numFmtId="0" fontId="23" fillId="5" borderId="7" xfId="0" applyFont="1" applyFill="1" applyBorder="1" applyAlignment="1">
      <alignment horizontal="center" vertical="center"/>
    </xf>
    <xf numFmtId="0" fontId="23" fillId="5" borderId="5" xfId="0" applyFont="1" applyFill="1" applyBorder="1" applyAlignment="1">
      <alignment horizontal="center" vertical="center"/>
    </xf>
    <xf numFmtId="0" fontId="23" fillId="5" borderId="6" xfId="0" applyFont="1" applyFill="1" applyBorder="1" applyAlignment="1">
      <alignment horizontal="center" vertical="center"/>
    </xf>
    <xf numFmtId="0" fontId="11" fillId="23" borderId="7" xfId="0" applyFont="1" applyFill="1" applyBorder="1" applyAlignment="1">
      <alignment horizontal="left" vertical="top"/>
    </xf>
    <xf numFmtId="0" fontId="11" fillId="23" borderId="5" xfId="0" applyFont="1" applyFill="1" applyBorder="1" applyAlignment="1">
      <alignment horizontal="left" vertical="top"/>
    </xf>
    <xf numFmtId="0" fontId="11" fillId="21" borderId="5" xfId="0" applyFont="1" applyFill="1" applyBorder="1" applyAlignment="1">
      <alignment horizontal="left" vertical="top"/>
    </xf>
    <xf numFmtId="0" fontId="11" fillId="21" borderId="6" xfId="0" applyFont="1" applyFill="1" applyBorder="1" applyAlignment="1">
      <alignment horizontal="left" vertical="top"/>
    </xf>
    <xf numFmtId="0" fontId="11" fillId="22" borderId="1" xfId="0" applyFont="1" applyFill="1" applyBorder="1" applyAlignment="1">
      <alignment horizontal="left" vertical="top"/>
    </xf>
    <xf numFmtId="0" fontId="4" fillId="0" borderId="9" xfId="0" applyFont="1" applyBorder="1" applyAlignment="1" applyProtection="1">
      <alignment horizontal="center" vertical="top"/>
      <protection locked="0"/>
    </xf>
    <xf numFmtId="0" fontId="4" fillId="0" borderId="27" xfId="0" applyFont="1" applyBorder="1" applyAlignment="1" applyProtection="1">
      <alignment horizontal="center" vertical="top"/>
      <protection locked="0"/>
    </xf>
    <xf numFmtId="0" fontId="4" fillId="0" borderId="8" xfId="0" applyFont="1" applyBorder="1" applyAlignment="1" applyProtection="1">
      <alignment horizontal="center" vertical="top"/>
      <protection locked="0"/>
    </xf>
    <xf numFmtId="0" fontId="28" fillId="0" borderId="18" xfId="0" applyFont="1" applyBorder="1" applyAlignment="1">
      <alignment horizontal="left" vertical="top" wrapText="1"/>
    </xf>
    <xf numFmtId="0" fontId="28" fillId="0" borderId="19" xfId="0" applyFont="1" applyBorder="1" applyAlignment="1">
      <alignment horizontal="left" vertical="top" wrapText="1"/>
    </xf>
    <xf numFmtId="0" fontId="27" fillId="0" borderId="20" xfId="0" applyFont="1" applyBorder="1" applyAlignment="1">
      <alignment horizontal="left" vertical="top" wrapText="1"/>
    </xf>
    <xf numFmtId="0" fontId="27" fillId="0" borderId="21" xfId="0" applyFont="1" applyBorder="1" applyAlignment="1">
      <alignment horizontal="left" vertical="top" wrapText="1"/>
    </xf>
    <xf numFmtId="0" fontId="11" fillId="21" borderId="5" xfId="0" applyFont="1" applyFill="1" applyBorder="1" applyAlignment="1">
      <alignment horizontal="left" vertical="top" wrapText="1"/>
    </xf>
    <xf numFmtId="0" fontId="11" fillId="21" borderId="6" xfId="0" applyFont="1" applyFill="1" applyBorder="1" applyAlignment="1">
      <alignment horizontal="left" vertical="top" wrapText="1"/>
    </xf>
    <xf numFmtId="0" fontId="4" fillId="0" borderId="4" xfId="0" applyFont="1" applyBorder="1" applyAlignment="1">
      <alignment horizontal="center" vertical="top"/>
    </xf>
    <xf numFmtId="0" fontId="4" fillId="0" borderId="15" xfId="0" applyFont="1" applyBorder="1" applyAlignment="1">
      <alignment horizontal="center" vertical="top"/>
    </xf>
    <xf numFmtId="0" fontId="5" fillId="17" borderId="16" xfId="0" applyFont="1" applyFill="1" applyBorder="1" applyAlignment="1">
      <alignment horizontal="center" vertical="top" wrapText="1"/>
    </xf>
    <xf numFmtId="0" fontId="5" fillId="17" borderId="17" xfId="0" applyFont="1" applyFill="1" applyBorder="1" applyAlignment="1">
      <alignment horizontal="center" vertical="top" wrapText="1"/>
    </xf>
    <xf numFmtId="0" fontId="4" fillId="0" borderId="26" xfId="0" applyFont="1" applyBorder="1" applyAlignment="1">
      <alignment horizontal="center" vertical="top" wrapText="1"/>
    </xf>
    <xf numFmtId="0" fontId="4" fillId="33" borderId="1" xfId="0" applyFont="1" applyFill="1" applyBorder="1" applyAlignment="1">
      <alignment horizontal="center" vertical="center"/>
    </xf>
    <xf numFmtId="0" fontId="4" fillId="0" borderId="15" xfId="0" applyFont="1" applyBorder="1" applyAlignment="1">
      <alignment horizontal="left" vertical="top" wrapText="1"/>
    </xf>
    <xf numFmtId="0" fontId="4" fillId="0" borderId="0" xfId="0" applyFont="1" applyAlignment="1">
      <alignment horizontal="left" vertical="top" wrapText="1"/>
    </xf>
    <xf numFmtId="0" fontId="4" fillId="0" borderId="27" xfId="0" applyFont="1" applyBorder="1" applyAlignment="1">
      <alignment horizontal="left" vertical="top"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17" fillId="0" borderId="4" xfId="0" applyFont="1" applyBorder="1" applyAlignment="1">
      <alignment horizontal="left" vertical="center" wrapText="1"/>
    </xf>
    <xf numFmtId="0" fontId="4" fillId="0" borderId="14" xfId="0" applyFont="1" applyBorder="1" applyAlignment="1">
      <alignment horizontal="left" vertical="center" wrapText="1"/>
    </xf>
    <xf numFmtId="0" fontId="4" fillId="0" borderId="9"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4" fillId="0" borderId="10" xfId="0" applyFont="1" applyBorder="1" applyAlignment="1">
      <alignment horizontal="left" vertical="center" wrapText="1"/>
    </xf>
    <xf numFmtId="0" fontId="4" fillId="0" borderId="3" xfId="0" applyFont="1" applyBorder="1" applyAlignment="1">
      <alignment horizontal="left" vertical="center" wrapText="1"/>
    </xf>
    <xf numFmtId="0" fontId="11" fillId="22" borderId="1" xfId="0" applyFont="1" applyFill="1" applyBorder="1" applyAlignment="1">
      <alignment horizontal="left" vertical="top" wrapText="1"/>
    </xf>
    <xf numFmtId="0" fontId="5" fillId="0" borderId="1" xfId="0" applyFont="1" applyBorder="1" applyAlignment="1">
      <alignment horizontal="left" vertical="top" wrapText="1"/>
    </xf>
    <xf numFmtId="0" fontId="11" fillId="23" borderId="1" xfId="0" applyFont="1" applyFill="1" applyBorder="1" applyAlignment="1">
      <alignment horizontal="left" vertical="top"/>
    </xf>
    <xf numFmtId="0" fontId="11" fillId="21" borderId="1" xfId="0" applyFont="1" applyFill="1" applyBorder="1" applyAlignment="1">
      <alignment horizontal="left" vertical="top" wrapText="1"/>
    </xf>
    <xf numFmtId="0" fontId="11" fillId="21" borderId="1" xfId="0" applyFont="1" applyFill="1" applyBorder="1" applyAlignment="1">
      <alignment horizontal="left" vertical="top"/>
    </xf>
    <xf numFmtId="0" fontId="20" fillId="0" borderId="1" xfId="0" applyFont="1" applyBorder="1" applyAlignment="1">
      <alignment horizontal="left" vertical="top" wrapText="1"/>
    </xf>
    <xf numFmtId="0" fontId="11" fillId="22" borderId="1" xfId="0" applyFont="1" applyFill="1" applyBorder="1" applyAlignment="1">
      <alignment horizontal="left" vertical="center" wrapText="1"/>
    </xf>
    <xf numFmtId="0" fontId="23" fillId="6" borderId="1" xfId="0" applyFont="1" applyFill="1" applyBorder="1" applyAlignment="1">
      <alignment horizontal="center" vertical="center"/>
    </xf>
    <xf numFmtId="0" fontId="11" fillId="26" borderId="1" xfId="0" applyFont="1" applyFill="1" applyBorder="1" applyAlignment="1">
      <alignment horizontal="left" vertical="center" wrapText="1"/>
    </xf>
    <xf numFmtId="0" fontId="5" fillId="15" borderId="1" xfId="2" applyFont="1" applyFill="1" applyBorder="1" applyAlignment="1">
      <alignment horizontal="right" vertical="center" wrapText="1"/>
    </xf>
    <xf numFmtId="49" fontId="4" fillId="13" borderId="3" xfId="1" applyNumberFormat="1" applyFont="1" applyFill="1" applyBorder="1" applyAlignment="1">
      <alignment horizontal="center" vertical="center"/>
    </xf>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9" fillId="25" borderId="7" xfId="0" applyFont="1" applyFill="1" applyBorder="1" applyAlignment="1">
      <alignment horizontal="center" vertical="center" wrapText="1"/>
    </xf>
    <xf numFmtId="0" fontId="9" fillId="25" borderId="5" xfId="0" applyFont="1" applyFill="1" applyBorder="1" applyAlignment="1">
      <alignment horizontal="center" vertical="center" wrapText="1"/>
    </xf>
    <xf numFmtId="0" fontId="9" fillId="25" borderId="6" xfId="0" applyFont="1" applyFill="1" applyBorder="1" applyAlignment="1">
      <alignment horizontal="center" vertical="center" wrapText="1"/>
    </xf>
    <xf numFmtId="2" fontId="12" fillId="0" borderId="7" xfId="0" applyNumberFormat="1" applyFont="1" applyBorder="1" applyAlignment="1">
      <alignment horizontal="center" vertical="center"/>
    </xf>
    <xf numFmtId="2" fontId="12" fillId="0" borderId="6" xfId="0" applyNumberFormat="1" applyFont="1" applyBorder="1" applyAlignment="1">
      <alignment horizontal="center" vertical="center"/>
    </xf>
    <xf numFmtId="2" fontId="12" fillId="0" borderId="1" xfId="0" applyNumberFormat="1" applyFont="1" applyBorder="1" applyAlignment="1">
      <alignment horizontal="center" vertical="center"/>
    </xf>
    <xf numFmtId="2" fontId="11" fillId="0" borderId="1" xfId="0" applyNumberFormat="1" applyFont="1" applyBorder="1" applyAlignment="1">
      <alignment horizontal="center" vertical="center"/>
    </xf>
    <xf numFmtId="0" fontId="12" fillId="0" borderId="7" xfId="0" applyFont="1" applyBorder="1" applyAlignment="1">
      <alignment horizontal="center" vertical="center"/>
    </xf>
    <xf numFmtId="0" fontId="12" fillId="0" borderId="6" xfId="0" applyFont="1" applyBorder="1" applyAlignment="1">
      <alignment horizontal="center" vertical="center"/>
    </xf>
    <xf numFmtId="2" fontId="4" fillId="0" borderId="1" xfId="0" applyNumberFormat="1" applyFont="1" applyBorder="1" applyAlignment="1">
      <alignment horizontal="center" vertical="center" wrapText="1"/>
    </xf>
    <xf numFmtId="2" fontId="5" fillId="28" borderId="1" xfId="0" applyNumberFormat="1" applyFont="1" applyFill="1" applyBorder="1" applyAlignment="1">
      <alignment horizontal="center" vertical="center"/>
    </xf>
    <xf numFmtId="0" fontId="5" fillId="28" borderId="1" xfId="0" applyFont="1" applyFill="1" applyBorder="1" applyAlignment="1">
      <alignment horizontal="center" vertical="center"/>
    </xf>
    <xf numFmtId="0" fontId="10" fillId="27" borderId="1" xfId="0" applyFont="1" applyFill="1" applyBorder="1" applyAlignment="1">
      <alignment horizontal="center" vertical="center" wrapText="1"/>
    </xf>
    <xf numFmtId="2" fontId="10" fillId="27" borderId="1" xfId="0" applyNumberFormat="1" applyFont="1" applyFill="1" applyBorder="1" applyAlignment="1">
      <alignment horizontal="center" vertical="center" wrapText="1"/>
    </xf>
    <xf numFmtId="2" fontId="12" fillId="0" borderId="5" xfId="0" applyNumberFormat="1" applyFont="1" applyBorder="1" applyAlignment="1">
      <alignment horizontal="center" vertical="center"/>
    </xf>
    <xf numFmtId="0" fontId="9" fillId="2" borderId="1" xfId="0" applyFont="1" applyFill="1" applyBorder="1" applyAlignment="1">
      <alignment horizontal="center" vertical="center" wrapText="1"/>
    </xf>
    <xf numFmtId="2" fontId="12" fillId="0" borderId="1" xfId="0" applyNumberFormat="1" applyFont="1" applyBorder="1" applyAlignment="1">
      <alignment horizontal="center" vertical="center" wrapText="1"/>
    </xf>
    <xf numFmtId="0" fontId="10" fillId="7" borderId="2" xfId="0" applyFont="1" applyFill="1" applyBorder="1" applyAlignment="1">
      <alignment horizontal="right" vertical="center"/>
    </xf>
    <xf numFmtId="0" fontId="10" fillId="7" borderId="3" xfId="0" applyFont="1" applyFill="1" applyBorder="1" applyAlignment="1">
      <alignment horizontal="right" vertical="center"/>
    </xf>
    <xf numFmtId="0" fontId="10" fillId="27" borderId="1" xfId="0" applyFont="1" applyFill="1" applyBorder="1" applyAlignment="1">
      <alignment horizontal="left" vertical="center"/>
    </xf>
    <xf numFmtId="166"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0" fontId="40" fillId="0" borderId="24" xfId="0" applyFont="1" applyBorder="1" applyAlignment="1">
      <alignment horizontal="center" vertical="top" wrapText="1"/>
    </xf>
    <xf numFmtId="0" fontId="40" fillId="0" borderId="0" xfId="0" applyFont="1" applyAlignment="1">
      <alignment horizontal="center" vertical="top" wrapText="1"/>
    </xf>
    <xf numFmtId="0" fontId="40" fillId="0" borderId="35" xfId="0" applyFont="1" applyBorder="1" applyAlignment="1">
      <alignment horizontal="center" vertical="top" wrapText="1"/>
    </xf>
    <xf numFmtId="0" fontId="42" fillId="0" borderId="31" xfId="0" applyFont="1" applyBorder="1" applyAlignment="1">
      <alignment horizontal="left" vertical="top" wrapText="1"/>
    </xf>
    <xf numFmtId="0" fontId="45" fillId="0" borderId="32" xfId="0" applyFont="1" applyBorder="1" applyAlignment="1">
      <alignment horizontal="left" vertical="top" wrapText="1"/>
    </xf>
    <xf numFmtId="0" fontId="45" fillId="0" borderId="33" xfId="0" applyFont="1" applyBorder="1" applyAlignment="1">
      <alignment horizontal="left" vertical="top" wrapText="1"/>
    </xf>
    <xf numFmtId="2" fontId="4" fillId="34" borderId="1" xfId="4" applyNumberFormat="1" applyFont="1" applyBorder="1" applyAlignment="1" applyProtection="1">
      <alignment horizontal="center" vertical="center"/>
      <protection locked="0"/>
    </xf>
    <xf numFmtId="0" fontId="12" fillId="0" borderId="1" xfId="0" applyFont="1" applyBorder="1" applyAlignment="1">
      <alignment horizontal="center" vertical="center" wrapText="1"/>
    </xf>
    <xf numFmtId="2" fontId="8" fillId="7" borderId="1" xfId="0" applyNumberFormat="1" applyFont="1" applyFill="1" applyBorder="1" applyAlignment="1">
      <alignment horizontal="center" vertical="center"/>
    </xf>
    <xf numFmtId="2" fontId="4" fillId="0" borderId="1" xfId="0" applyNumberFormat="1" applyFont="1" applyBorder="1" applyAlignment="1">
      <alignment horizontal="center"/>
    </xf>
    <xf numFmtId="0" fontId="8" fillId="7" borderId="7" xfId="0" applyFont="1" applyFill="1" applyBorder="1" applyAlignment="1">
      <alignment horizontal="center" vertical="center"/>
    </xf>
    <xf numFmtId="0" fontId="8" fillId="7" borderId="6" xfId="0" applyFont="1" applyFill="1" applyBorder="1" applyAlignment="1">
      <alignment horizontal="center" vertical="center"/>
    </xf>
    <xf numFmtId="0" fontId="0" fillId="0" borderId="1" xfId="0" applyBorder="1" applyAlignment="1">
      <alignment horizontal="center"/>
    </xf>
    <xf numFmtId="0" fontId="40" fillId="0" borderId="28" xfId="0" applyFont="1" applyBorder="1" applyAlignment="1">
      <alignment horizontal="center" vertical="top" wrapText="1"/>
    </xf>
    <xf numFmtId="0" fontId="40" fillId="0" borderId="29" xfId="0" applyFont="1" applyBorder="1" applyAlignment="1">
      <alignment horizontal="center" vertical="top" wrapText="1"/>
    </xf>
    <xf numFmtId="0" fontId="40" fillId="0" borderId="30" xfId="0" applyFont="1" applyBorder="1" applyAlignment="1">
      <alignment horizontal="center" vertical="top" wrapText="1"/>
    </xf>
    <xf numFmtId="0" fontId="5" fillId="28" borderId="7" xfId="0" applyFont="1" applyFill="1" applyBorder="1" applyAlignment="1">
      <alignment horizontal="left" vertical="center"/>
    </xf>
    <xf numFmtId="0" fontId="5" fillId="28" borderId="6" xfId="0" applyFont="1" applyFill="1" applyBorder="1" applyAlignment="1">
      <alignment horizontal="left" vertical="center"/>
    </xf>
  </cellXfs>
  <cellStyles count="5">
    <cellStyle name="Input" xfId="4" builtinId="20"/>
    <cellStyle name="Normal" xfId="0" builtinId="0"/>
    <cellStyle name="Normal 2" xfId="1" xr:uid="{00000000-0005-0000-0000-000002000000}"/>
    <cellStyle name="Normal 2 2" xfId="3" xr:uid="{00000000-0005-0000-0000-000003000000}"/>
    <cellStyle name="Normal 4 2" xfId="2" xr:uid="{00000000-0005-0000-0000-000004000000}"/>
  </cellStyles>
  <dxfs count="1">
    <dxf>
      <fill>
        <patternFill>
          <bgColor rgb="FFFF0000"/>
        </patternFill>
      </fill>
    </dxf>
  </dxfs>
  <tableStyles count="0" defaultTableStyle="TableStyleMedium2" defaultPivotStyle="PivotStyleLight16"/>
  <colors>
    <mruColors>
      <color rgb="FF0A0064"/>
      <color rgb="FF9966FF"/>
      <color rgb="FFCCCCFF"/>
      <color rgb="FF9933FF"/>
      <color rgb="FFFFFFCC"/>
      <color rgb="FFFFFF99"/>
      <color rgb="FFFFFF66"/>
      <color rgb="FF66FFCC"/>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xdr:col>
      <xdr:colOff>2334337</xdr:colOff>
      <xdr:row>2</xdr:row>
      <xdr:rowOff>48660</xdr:rowOff>
    </xdr:from>
    <xdr:to>
      <xdr:col>2</xdr:col>
      <xdr:colOff>3410743</xdr:colOff>
      <xdr:row>5</xdr:row>
      <xdr:rowOff>345841</xdr:rowOff>
    </xdr:to>
    <xdr:pic>
      <xdr:nvPicPr>
        <xdr:cNvPr id="2" name="Picture 1" descr="gm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screen"/>
        <a:srcRect/>
        <a:stretch>
          <a:fillRect/>
        </a:stretch>
      </xdr:blipFill>
      <xdr:spPr bwMode="auto">
        <a:xfrm>
          <a:off x="5522037" y="1159910"/>
          <a:ext cx="1070056" cy="1071321"/>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2135687</xdr:colOff>
      <xdr:row>2</xdr:row>
      <xdr:rowOff>349154</xdr:rowOff>
    </xdr:from>
    <xdr:ext cx="6191247" cy="342786"/>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2684775" y="831007"/>
          <a:ext cx="6191247"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SG" sz="1600" b="1">
              <a:solidFill>
                <a:srgbClr val="7030A0"/>
              </a:solidFill>
            </a:rPr>
            <a:t>Please</a:t>
          </a:r>
          <a:r>
            <a:rPr lang="en-SG" sz="1600" b="1" baseline="0">
              <a:solidFill>
                <a:srgbClr val="7030A0"/>
              </a:solidFill>
            </a:rPr>
            <a:t> double click here to access Maintainability Section Scoresheet!</a:t>
          </a:r>
          <a:endParaRPr lang="en-SG" sz="1600" b="1">
            <a:solidFill>
              <a:srgbClr val="7030A0"/>
            </a:solidFill>
          </a:endParaRPr>
        </a:p>
      </xdr:txBody>
    </xdr:sp>
    <xdr:clientData/>
  </xdr:oneCellAnchor>
  <xdr:twoCellAnchor>
    <xdr:from>
      <xdr:col>1</xdr:col>
      <xdr:colOff>381000</xdr:colOff>
      <xdr:row>2</xdr:row>
      <xdr:rowOff>520547</xdr:rowOff>
    </xdr:from>
    <xdr:to>
      <xdr:col>1</xdr:col>
      <xdr:colOff>2135687</xdr:colOff>
      <xdr:row>2</xdr:row>
      <xdr:rowOff>520547</xdr:rowOff>
    </xdr:to>
    <xdr:cxnSp macro="">
      <xdr:nvCxnSpPr>
        <xdr:cNvPr id="2" name="Straight Arrow Connector 3">
          <a:extLst>
            <a:ext uri="{FF2B5EF4-FFF2-40B4-BE49-F238E27FC236}">
              <a16:creationId xmlns:a16="http://schemas.microsoft.com/office/drawing/2014/main" id="{00000000-0008-0000-0700-000002000000}"/>
            </a:ext>
          </a:extLst>
        </xdr:cNvPr>
        <xdr:cNvCxnSpPr>
          <a:stCxn id="3" idx="1"/>
        </xdr:cNvCxnSpPr>
      </xdr:nvCxnSpPr>
      <xdr:spPr>
        <a:xfrm flipH="1">
          <a:off x="933450" y="996797"/>
          <a:ext cx="1754687" cy="0"/>
        </a:xfrm>
        <a:prstGeom prst="straightConnector1">
          <a:avLst/>
        </a:prstGeom>
        <a:ln w="3810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0</xdr:col>
          <xdr:colOff>0</xdr:colOff>
          <xdr:row>2</xdr:row>
          <xdr:rowOff>57150</xdr:rowOff>
        </xdr:from>
        <xdr:to>
          <xdr:col>1</xdr:col>
          <xdr:colOff>342900</xdr:colOff>
          <xdr:row>2</xdr:row>
          <xdr:rowOff>1047750</xdr:rowOff>
        </xdr:to>
        <xdr:sp macro="" textlink="">
          <xdr:nvSpPr>
            <xdr:cNvPr id="5123" name="Object 3" hidden="1">
              <a:extLst>
                <a:ext uri="{63B3BB69-23CF-44E3-9099-C40C66FF867C}">
                  <a14:compatExt spid="_x0000_s5123"/>
                </a:ext>
                <a:ext uri="{FF2B5EF4-FFF2-40B4-BE49-F238E27FC236}">
                  <a16:creationId xmlns:a16="http://schemas.microsoft.com/office/drawing/2014/main" id="{00000000-0008-0000-0700-000003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sgdcs.sgnet.gov.sg/HCP_BACKUP/GREENMARK%20DOCS/GM%202016%20(RB)/Scoresheet/V1_Revised%20for%20upload/GM_RB_2016_Score_Card%20Ver%201%20(unprotect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sgdcs.sgnet.gov.sg/Users/bca_hweifern/Documents/GM%202015%20(NRB)/Energy%20Calculator/Version%20R3.03/BCA_Energy_Performance_Points_Calculator.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Worksheet%20in%20Green%20Mark%202021_Scoresheet%20(ENRB)"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Worksheet%20in%20Green%20Mark%202021_Scoresheet%20(ENR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sion Tracking"/>
      <sheetName val="Score Summary"/>
      <sheetName val="1.Climatic Responsive Design"/>
      <sheetName val="2.Building Energy Performance"/>
      <sheetName val="3.Resource Stewardship"/>
      <sheetName val="4.Smart &amp; Healthy Bldg"/>
      <sheetName val="5.Advanced Green Efforts"/>
      <sheetName val="Raw Data"/>
    </sheetNames>
    <sheetDataSet>
      <sheetData sheetId="0"/>
      <sheetData sheetId="1"/>
      <sheetData sheetId="2"/>
      <sheetData sheetId="3"/>
      <sheetData sheetId="4"/>
      <sheetData sheetId="5"/>
      <sheetData sheetId="6"/>
      <sheetData sheetId="7">
        <row r="2">
          <cell r="D2">
            <v>1</v>
          </cell>
        </row>
        <row r="3">
          <cell r="D3">
            <v>2</v>
          </cell>
        </row>
        <row r="4">
          <cell r="D4">
            <v>3</v>
          </cell>
        </row>
        <row r="7">
          <cell r="D7">
            <v>4</v>
          </cell>
        </row>
        <row r="8">
          <cell r="D8">
            <v>5</v>
          </cell>
        </row>
        <row r="9">
          <cell r="D9" t="str">
            <v>Others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sion Tracking"/>
      <sheetName val="Guidance Notes"/>
      <sheetName val="Notes for kWadj"/>
      <sheetName val="Building Data schedule"/>
      <sheetName val=" ACMV 2.01a"/>
      <sheetName val="Lighting Power Budget 2.01b"/>
      <sheetName val="Car Park 2.01c"/>
      <sheetName val="Receptacle Load 2.01d"/>
      <sheetName val="Building Energy 2.02a"/>
      <sheetName val="Renewable Energy 2.03c"/>
      <sheetName val="Mechanical Ventilation"/>
      <sheetName val="Vertical Transportation"/>
      <sheetName val="Hot Water"/>
      <sheetName val="Energy Efficient Features"/>
      <sheetName val="Service Equipment"/>
      <sheetName val="Heat Load calculation"/>
      <sheetName val="VRVVRFSplit System Tab"/>
      <sheetName val="AHU_FCU_PAU Working"/>
      <sheetName val="LOCKED SHEET"/>
    </sheetNames>
    <sheetDataSet>
      <sheetData sheetId="0"/>
      <sheetData sheetId="1"/>
      <sheetData sheetId="2"/>
      <sheetData sheetId="3">
        <row r="36">
          <cell r="G36" t="str">
            <v>Office</v>
          </cell>
          <cell r="H36">
            <v>72</v>
          </cell>
        </row>
        <row r="37">
          <cell r="G37" t="str">
            <v>Retail</v>
          </cell>
          <cell r="H37">
            <v>130</v>
          </cell>
        </row>
        <row r="38">
          <cell r="G38" t="str">
            <v>Hotel</v>
          </cell>
          <cell r="H38">
            <v>57</v>
          </cell>
        </row>
        <row r="39">
          <cell r="G39" t="str">
            <v>Industrial</v>
          </cell>
          <cell r="H39">
            <v>0</v>
          </cell>
        </row>
        <row r="40">
          <cell r="G40" t="str">
            <v>Education</v>
          </cell>
          <cell r="H40">
            <v>0</v>
          </cell>
        </row>
        <row r="41">
          <cell r="G41" t="str">
            <v>Healthcare</v>
          </cell>
          <cell r="H41" t="str">
            <v xml:space="preserve"> </v>
          </cell>
        </row>
        <row r="42">
          <cell r="G42" t="str">
            <v>Sports</v>
          </cell>
          <cell r="H42">
            <v>0</v>
          </cell>
        </row>
        <row r="43">
          <cell r="G43" t="str">
            <v>Other 1</v>
          </cell>
          <cell r="H43">
            <v>0</v>
          </cell>
        </row>
        <row r="44">
          <cell r="G44" t="str">
            <v>Other 2</v>
          </cell>
          <cell r="H44">
            <v>0</v>
          </cell>
        </row>
        <row r="45">
          <cell r="G45" t="str">
            <v>Other 3</v>
          </cell>
          <cell r="H45">
            <v>0</v>
          </cell>
        </row>
        <row r="46">
          <cell r="G46" t="str">
            <v>[Empty]</v>
          </cell>
          <cell r="H46">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ope of Works (GreenGov)"/>
      <sheetName val="Mt Score Summary (GGS)"/>
      <sheetName val="Maintainability Score Summary"/>
      <sheetName val="0. General"/>
      <sheetName val="1. Arch Ext"/>
      <sheetName val="2. Arch Int"/>
      <sheetName val="3. Mech"/>
      <sheetName val="4. Elect"/>
      <sheetName val="5. Landscape"/>
      <sheetName val="6. Innovative Solutions"/>
      <sheetName val="7. BMS"/>
      <sheetName val="8. FMS"/>
    </sheetNames>
    <sheetDataSet>
      <sheetData sheetId="0" refreshError="1"/>
      <sheetData sheetId="1" refreshError="1"/>
      <sheetData sheetId="2">
        <row r="6">
          <cell r="E6">
            <v>8.5</v>
          </cell>
          <cell r="F6">
            <v>0</v>
          </cell>
          <cell r="L6">
            <v>10.5</v>
          </cell>
          <cell r="M6">
            <v>0</v>
          </cell>
        </row>
        <row r="7">
          <cell r="B7" t="str">
            <v>General Project Requirement</v>
          </cell>
          <cell r="E7">
            <v>8.5</v>
          </cell>
          <cell r="F7">
            <v>0</v>
          </cell>
          <cell r="I7" t="str">
            <v>Softscape</v>
          </cell>
          <cell r="L7">
            <v>2</v>
          </cell>
          <cell r="M7">
            <v>0</v>
          </cell>
        </row>
        <row r="8">
          <cell r="E8">
            <v>14.5</v>
          </cell>
          <cell r="F8">
            <v>0</v>
          </cell>
          <cell r="I8" t="str">
            <v>Hardscape</v>
          </cell>
          <cell r="L8">
            <v>3</v>
          </cell>
          <cell r="M8">
            <v>0</v>
          </cell>
        </row>
        <row r="9">
          <cell r="A9" t="str">
            <v>Part A - General Façade</v>
          </cell>
          <cell r="E9">
            <v>2</v>
          </cell>
          <cell r="F9">
            <v>0</v>
          </cell>
          <cell r="I9" t="str">
            <v>Vertical Greenery</v>
          </cell>
          <cell r="L9">
            <v>0.5</v>
          </cell>
          <cell r="M9">
            <v>0</v>
          </cell>
        </row>
        <row r="10">
          <cell r="B10" t="str">
            <v>General Façade</v>
          </cell>
          <cell r="E10">
            <v>2</v>
          </cell>
          <cell r="F10">
            <v>0</v>
          </cell>
          <cell r="I10" t="str">
            <v>Roof, Sky Terraces, Planter boxes on building edge/façade</v>
          </cell>
          <cell r="L10">
            <v>3</v>
          </cell>
          <cell r="M10">
            <v>0</v>
          </cell>
        </row>
        <row r="11">
          <cell r="A11" t="str">
            <v>Part B - Façade System</v>
          </cell>
          <cell r="E11">
            <v>4</v>
          </cell>
          <cell r="F11">
            <v>0</v>
          </cell>
          <cell r="I11" t="str">
            <v>Standalone Structures</v>
          </cell>
          <cell r="L11">
            <v>2</v>
          </cell>
          <cell r="M11">
            <v>0</v>
          </cell>
        </row>
        <row r="12">
          <cell r="B12" t="str">
            <v>Cladding system: Tile/ Stone/ Metal/ Others</v>
          </cell>
          <cell r="E12">
            <v>4</v>
          </cell>
          <cell r="F12">
            <v>0</v>
          </cell>
          <cell r="L12">
            <v>11</v>
          </cell>
          <cell r="M12">
            <v>0</v>
          </cell>
        </row>
        <row r="13">
          <cell r="B13" t="str">
            <v>Curtain Wall: Glazing/ Others</v>
          </cell>
          <cell r="I13" t="str">
            <v>Cybersecurity</v>
          </cell>
          <cell r="L13">
            <v>1</v>
          </cell>
          <cell r="M13">
            <v>0</v>
          </cell>
        </row>
        <row r="14">
          <cell r="B14" t="str">
            <v>Masonry and Lightweight Concrete Panels</v>
          </cell>
          <cell r="I14" t="str">
            <v>Adoption of Smart FM solutions</v>
          </cell>
          <cell r="L14">
            <v>10</v>
          </cell>
          <cell r="M14">
            <v>0</v>
          </cell>
        </row>
        <row r="15">
          <cell r="A15" t="str">
            <v>Part C - Others</v>
          </cell>
          <cell r="E15">
            <v>8.5</v>
          </cell>
          <cell r="F15">
            <v>0</v>
          </cell>
          <cell r="L15">
            <v>10.5</v>
          </cell>
          <cell r="M15">
            <v>0</v>
          </cell>
        </row>
        <row r="16">
          <cell r="B16" t="str">
            <v>Façade Features/ considerations</v>
          </cell>
          <cell r="E16">
            <v>3.5</v>
          </cell>
          <cell r="F16">
            <v>0</v>
          </cell>
          <cell r="I16" t="str">
            <v>Central Computer</v>
          </cell>
          <cell r="L16">
            <v>2</v>
          </cell>
          <cell r="M16">
            <v>0</v>
          </cell>
        </row>
        <row r="17">
          <cell r="B17" t="str">
            <v>Entrance lobby</v>
          </cell>
          <cell r="E17">
            <v>3</v>
          </cell>
          <cell r="F17">
            <v>0</v>
          </cell>
          <cell r="I17" t="str">
            <v>Software Integration</v>
          </cell>
          <cell r="L17">
            <v>4</v>
          </cell>
          <cell r="M17">
            <v>0</v>
          </cell>
        </row>
        <row r="18">
          <cell r="B18" t="str">
            <v>Roof</v>
          </cell>
          <cell r="E18">
            <v>2</v>
          </cell>
          <cell r="F18">
            <v>0</v>
          </cell>
          <cell r="I18" t="str">
            <v>Controllers</v>
          </cell>
          <cell r="L18">
            <v>2.5</v>
          </cell>
          <cell r="M18">
            <v>0</v>
          </cell>
        </row>
        <row r="19">
          <cell r="E19">
            <v>19</v>
          </cell>
          <cell r="F19">
            <v>0</v>
          </cell>
          <cell r="I19" t="str">
            <v>Integration with M&amp;E systems</v>
          </cell>
          <cell r="L19">
            <v>2</v>
          </cell>
          <cell r="M19">
            <v>0</v>
          </cell>
        </row>
        <row r="20">
          <cell r="B20" t="str">
            <v>Floors</v>
          </cell>
          <cell r="E20">
            <v>2.5</v>
          </cell>
          <cell r="F20">
            <v>0</v>
          </cell>
          <cell r="L20">
            <v>12.5</v>
          </cell>
          <cell r="M20">
            <v>0</v>
          </cell>
        </row>
        <row r="21">
          <cell r="B21" t="str">
            <v>Ceiling</v>
          </cell>
          <cell r="E21">
            <v>5</v>
          </cell>
          <cell r="F21">
            <v>0</v>
          </cell>
          <cell r="H21" t="str">
            <v>Part A - Asset Management</v>
          </cell>
          <cell r="L21">
            <v>3</v>
          </cell>
          <cell r="M21">
            <v>0</v>
          </cell>
        </row>
        <row r="22">
          <cell r="B22" t="str">
            <v>Wet Rooms and Storage</v>
          </cell>
          <cell r="E22">
            <v>8</v>
          </cell>
          <cell r="F22">
            <v>0</v>
          </cell>
          <cell r="I22" t="str">
            <v>Failure Analysis</v>
          </cell>
          <cell r="L22">
            <v>1.5</v>
          </cell>
          <cell r="M22">
            <v>0</v>
          </cell>
        </row>
        <row r="23">
          <cell r="B23" t="str">
            <v>Loading Bay/ Back of House Service Areas</v>
          </cell>
          <cell r="E23">
            <v>3.5</v>
          </cell>
          <cell r="F23">
            <v>0</v>
          </cell>
          <cell r="I23" t="str">
            <v>Life Cycle Management</v>
          </cell>
          <cell r="L23">
            <v>1.5</v>
          </cell>
          <cell r="M23">
            <v>0</v>
          </cell>
        </row>
        <row r="24">
          <cell r="E24">
            <v>27</v>
          </cell>
          <cell r="F24">
            <v>0</v>
          </cell>
          <cell r="H24" t="str">
            <v>Part B - Operations Management and Supply Chain Management</v>
          </cell>
          <cell r="L24">
            <v>9.5</v>
          </cell>
          <cell r="M24">
            <v>0</v>
          </cell>
        </row>
        <row r="25">
          <cell r="A25" t="str">
            <v>Part A - Cooling Systems</v>
          </cell>
          <cell r="E25">
            <v>13.5</v>
          </cell>
          <cell r="F25">
            <v>0</v>
          </cell>
          <cell r="I25" t="str">
            <v>Service Management</v>
          </cell>
          <cell r="L25">
            <v>2.5</v>
          </cell>
          <cell r="M25">
            <v>0</v>
          </cell>
        </row>
        <row r="26">
          <cell r="B26" t="str">
            <v>Chiller Plant</v>
          </cell>
          <cell r="E26">
            <v>13.5</v>
          </cell>
          <cell r="F26">
            <v>0</v>
          </cell>
          <cell r="I26" t="str">
            <v>Maintenance Management</v>
          </cell>
          <cell r="L26">
            <v>1.5</v>
          </cell>
          <cell r="M26">
            <v>0</v>
          </cell>
        </row>
        <row r="27">
          <cell r="B27" t="str">
            <v>VRF</v>
          </cell>
          <cell r="E27">
            <v>1.5</v>
          </cell>
          <cell r="F27">
            <v>0</v>
          </cell>
          <cell r="I27" t="str">
            <v>Other General Services</v>
          </cell>
          <cell r="L27">
            <v>1</v>
          </cell>
          <cell r="M27">
            <v>0</v>
          </cell>
        </row>
        <row r="28">
          <cell r="A28" t="str">
            <v>Part B - Other systems</v>
          </cell>
          <cell r="E28">
            <v>13.5</v>
          </cell>
          <cell r="F28">
            <v>0</v>
          </cell>
          <cell r="I28" t="str">
            <v>Supply Chain Management</v>
          </cell>
          <cell r="L28">
            <v>4.5</v>
          </cell>
          <cell r="M28">
            <v>0</v>
          </cell>
        </row>
        <row r="29">
          <cell r="B29" t="str">
            <v>Air Distribution System</v>
          </cell>
          <cell r="E29">
            <v>8</v>
          </cell>
          <cell r="F29">
            <v>0</v>
          </cell>
        </row>
        <row r="30">
          <cell r="B30" t="str">
            <v>Domestic Water Supply</v>
          </cell>
          <cell r="E30">
            <v>0.5</v>
          </cell>
          <cell r="F30">
            <v>0</v>
          </cell>
          <cell r="L30">
            <v>2</v>
          </cell>
          <cell r="M30">
            <v>0</v>
          </cell>
        </row>
        <row r="31">
          <cell r="B31" t="str">
            <v>Sanitary System</v>
          </cell>
          <cell r="E31">
            <v>1.5</v>
          </cell>
          <cell r="F31">
            <v>0</v>
          </cell>
          <cell r="L31">
            <v>1</v>
          </cell>
          <cell r="M31">
            <v>0</v>
          </cell>
        </row>
        <row r="32">
          <cell r="B32" t="str">
            <v>Fire Protection System</v>
          </cell>
          <cell r="E32">
            <v>3.5</v>
          </cell>
          <cell r="F32">
            <v>0</v>
          </cell>
        </row>
        <row r="33">
          <cell r="E33">
            <v>10.5</v>
          </cell>
          <cell r="F33">
            <v>0</v>
          </cell>
        </row>
        <row r="34">
          <cell r="B34" t="str">
            <v>Lighting System</v>
          </cell>
          <cell r="E34">
            <v>2</v>
          </cell>
          <cell r="F34">
            <v>0</v>
          </cell>
        </row>
        <row r="35">
          <cell r="B35" t="str">
            <v>Power Distribution System</v>
          </cell>
          <cell r="E35">
            <v>2.5</v>
          </cell>
          <cell r="F35">
            <v>0</v>
          </cell>
        </row>
        <row r="36">
          <cell r="B36" t="str">
            <v>Extra Low Voltage System</v>
          </cell>
          <cell r="E36">
            <v>3.5</v>
          </cell>
          <cell r="F36">
            <v>0</v>
          </cell>
          <cell r="K36">
            <v>0</v>
          </cell>
          <cell r="N36">
            <v>0</v>
          </cell>
        </row>
        <row r="37">
          <cell r="B37" t="str">
            <v>Lightning Protection System</v>
          </cell>
          <cell r="E37">
            <v>1</v>
          </cell>
          <cell r="F37">
            <v>0</v>
          </cell>
          <cell r="K37">
            <v>124</v>
          </cell>
        </row>
        <row r="38">
          <cell r="B38" t="str">
            <v>Vertical Transportation System</v>
          </cell>
          <cell r="E38">
            <v>1.5</v>
          </cell>
          <cell r="F38">
            <v>0</v>
          </cell>
          <cell r="K38">
            <v>0</v>
          </cell>
        </row>
        <row r="39">
          <cell r="K39">
            <v>0</v>
          </cell>
          <cell r="M39">
            <v>0</v>
          </cell>
        </row>
        <row r="43">
          <cell r="M43">
            <v>0</v>
          </cell>
        </row>
        <row r="45">
          <cell r="M45" t="str">
            <v/>
          </cell>
        </row>
        <row r="49">
          <cell r="M49" t="str">
            <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ainability Score Summary"/>
      <sheetName val="0. General"/>
      <sheetName val="1. Arch Ext"/>
      <sheetName val="2. Arch Int"/>
      <sheetName val="3. Mech"/>
      <sheetName val="4. Elect"/>
      <sheetName val="5. Landscape"/>
      <sheetName val="6. Innovative Solutions"/>
      <sheetName val="7. BMS"/>
      <sheetName val="8. FMS"/>
    </sheetNames>
    <sheetDataSet>
      <sheetData sheetId="0" refreshError="1">
        <row r="6">
          <cell r="F6">
            <v>0</v>
          </cell>
          <cell r="M6">
            <v>0</v>
          </cell>
        </row>
        <row r="7">
          <cell r="F7">
            <v>0</v>
          </cell>
          <cell r="M7">
            <v>0</v>
          </cell>
        </row>
        <row r="8">
          <cell r="F8">
            <v>0</v>
          </cell>
          <cell r="M8">
            <v>0</v>
          </cell>
        </row>
        <row r="9">
          <cell r="F9">
            <v>0</v>
          </cell>
          <cell r="M9">
            <v>0</v>
          </cell>
        </row>
        <row r="10">
          <cell r="F10">
            <v>0</v>
          </cell>
          <cell r="M10">
            <v>0</v>
          </cell>
        </row>
        <row r="11">
          <cell r="F11">
            <v>0</v>
          </cell>
          <cell r="M11">
            <v>0</v>
          </cell>
        </row>
        <row r="12">
          <cell r="F12">
            <v>0</v>
          </cell>
          <cell r="M12">
            <v>0</v>
          </cell>
        </row>
        <row r="13">
          <cell r="M13">
            <v>0</v>
          </cell>
        </row>
        <row r="14">
          <cell r="M14">
            <v>0</v>
          </cell>
        </row>
        <row r="15">
          <cell r="F15">
            <v>0</v>
          </cell>
          <cell r="M15">
            <v>0</v>
          </cell>
        </row>
        <row r="16">
          <cell r="F16">
            <v>0</v>
          </cell>
          <cell r="M16">
            <v>0</v>
          </cell>
        </row>
        <row r="17">
          <cell r="F17">
            <v>0</v>
          </cell>
          <cell r="M17">
            <v>0</v>
          </cell>
        </row>
        <row r="18">
          <cell r="F18">
            <v>0</v>
          </cell>
          <cell r="M18">
            <v>0</v>
          </cell>
        </row>
        <row r="19">
          <cell r="F19">
            <v>0</v>
          </cell>
          <cell r="M19">
            <v>0</v>
          </cell>
        </row>
        <row r="20">
          <cell r="F20">
            <v>0</v>
          </cell>
          <cell r="M20">
            <v>0</v>
          </cell>
        </row>
        <row r="21">
          <cell r="M21">
            <v>0</v>
          </cell>
        </row>
        <row r="22">
          <cell r="F22">
            <v>0</v>
          </cell>
          <cell r="M22">
            <v>0</v>
          </cell>
        </row>
        <row r="23">
          <cell r="F23">
            <v>0</v>
          </cell>
          <cell r="M23">
            <v>0</v>
          </cell>
        </row>
        <row r="24">
          <cell r="M24">
            <v>0</v>
          </cell>
        </row>
        <row r="25">
          <cell r="F25">
            <v>0</v>
          </cell>
          <cell r="M25">
            <v>0</v>
          </cell>
        </row>
        <row r="26">
          <cell r="F26">
            <v>0</v>
          </cell>
          <cell r="M26">
            <v>0</v>
          </cell>
        </row>
        <row r="27">
          <cell r="F27">
            <v>0</v>
          </cell>
          <cell r="M27">
            <v>0</v>
          </cell>
        </row>
        <row r="28">
          <cell r="F28">
            <v>0</v>
          </cell>
          <cell r="M28">
            <v>0</v>
          </cell>
        </row>
        <row r="29">
          <cell r="F29">
            <v>0</v>
          </cell>
        </row>
        <row r="30">
          <cell r="F30">
            <v>0</v>
          </cell>
          <cell r="M30">
            <v>0</v>
          </cell>
        </row>
        <row r="31">
          <cell r="F31">
            <v>0</v>
          </cell>
          <cell r="M31">
            <v>0</v>
          </cell>
        </row>
        <row r="32">
          <cell r="F32">
            <v>0</v>
          </cell>
        </row>
        <row r="33">
          <cell r="F33">
            <v>0</v>
          </cell>
        </row>
        <row r="34">
          <cell r="F34">
            <v>0</v>
          </cell>
        </row>
        <row r="35">
          <cell r="F35">
            <v>0</v>
          </cell>
        </row>
        <row r="36">
          <cell r="F36">
            <v>0</v>
          </cell>
          <cell r="K36">
            <v>0</v>
          </cell>
          <cell r="N36">
            <v>0</v>
          </cell>
        </row>
        <row r="37">
          <cell r="F37">
            <v>0</v>
          </cell>
        </row>
        <row r="38">
          <cell r="F38">
            <v>0</v>
          </cell>
          <cell r="K38">
            <v>0</v>
          </cell>
        </row>
        <row r="39">
          <cell r="F39">
            <v>0</v>
          </cell>
          <cell r="K39">
            <v>0</v>
          </cell>
          <cell r="M39">
            <v>0</v>
          </cell>
        </row>
        <row r="40">
          <cell r="F40">
            <v>0</v>
          </cell>
        </row>
        <row r="43">
          <cell r="M43">
            <v>0</v>
          </cell>
        </row>
        <row r="49">
          <cell r="M49"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2.emf"/><Relationship Id="rId4" Type="http://schemas.openxmlformats.org/officeDocument/2006/relationships/package" Target="../embeddings/Microsoft_Excel_Worksheet.xls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25"/>
  <sheetViews>
    <sheetView tabSelected="1" zoomScaleNormal="100" workbookViewId="0"/>
  </sheetViews>
  <sheetFormatPr defaultColWidth="8.81640625" defaultRowHeight="14.5" x14ac:dyDescent="0.35"/>
  <cols>
    <col min="1" max="1" width="33.81640625" style="258" customWidth="1"/>
    <col min="2" max="2" width="11.81640625" style="235" customWidth="1"/>
    <col min="3" max="3" width="63" style="235" customWidth="1"/>
    <col min="4" max="6" width="8.81640625" style="235"/>
    <col min="7" max="7" width="63" style="256" hidden="1" customWidth="1"/>
    <col min="8" max="16384" width="8.81640625" style="235"/>
  </cols>
  <sheetData>
    <row r="2" spans="1:7" s="254" customFormat="1" ht="20" x14ac:dyDescent="0.4">
      <c r="A2" s="347"/>
      <c r="B2" s="347"/>
      <c r="C2" s="347"/>
    </row>
    <row r="3" spans="1:7" s="254" customFormat="1" ht="20" x14ac:dyDescent="0.4">
      <c r="A3" s="219"/>
      <c r="B3" s="220"/>
      <c r="C3" s="221"/>
    </row>
    <row r="4" spans="1:7" s="254" customFormat="1" ht="20" x14ac:dyDescent="0.4">
      <c r="A4" s="219" t="s">
        <v>0</v>
      </c>
      <c r="B4" s="220"/>
      <c r="C4" s="221"/>
    </row>
    <row r="5" spans="1:7" s="254" customFormat="1" ht="20" x14ac:dyDescent="0.4">
      <c r="A5" s="219"/>
      <c r="B5" s="220"/>
      <c r="C5" s="221"/>
    </row>
    <row r="6" spans="1:7" s="254" customFormat="1" ht="31.5" customHeight="1" x14ac:dyDescent="0.4">
      <c r="A6" s="222"/>
      <c r="B6" s="223"/>
      <c r="C6" s="224"/>
    </row>
    <row r="7" spans="1:7" ht="20.149999999999999" customHeight="1" x14ac:dyDescent="0.35">
      <c r="A7" s="348" t="s">
        <v>1</v>
      </c>
      <c r="B7" s="348"/>
      <c r="C7" s="348"/>
      <c r="G7" s="255" t="s">
        <v>2</v>
      </c>
    </row>
    <row r="8" spans="1:7" ht="20.149999999999999" customHeight="1" x14ac:dyDescent="0.35">
      <c r="A8" s="344" t="s">
        <v>3</v>
      </c>
      <c r="B8" s="344"/>
      <c r="C8" s="227"/>
    </row>
    <row r="9" spans="1:7" ht="20.149999999999999" customHeight="1" x14ac:dyDescent="0.35">
      <c r="A9" s="344" t="s">
        <v>4</v>
      </c>
      <c r="B9" s="344"/>
      <c r="C9" s="227"/>
    </row>
    <row r="10" spans="1:7" ht="20.149999999999999" customHeight="1" x14ac:dyDescent="0.35">
      <c r="A10" s="344" t="s">
        <v>5</v>
      </c>
      <c r="B10" s="344"/>
      <c r="C10" s="227"/>
      <c r="G10" s="257" t="s">
        <v>6</v>
      </c>
    </row>
    <row r="11" spans="1:7" ht="20.149999999999999" customHeight="1" x14ac:dyDescent="0.35">
      <c r="A11" s="344" t="s">
        <v>7</v>
      </c>
      <c r="B11" s="344"/>
      <c r="C11" s="228"/>
      <c r="G11" s="257"/>
    </row>
    <row r="12" spans="1:7" ht="20.149999999999999" customHeight="1" x14ac:dyDescent="0.35">
      <c r="A12" s="344" t="s">
        <v>8</v>
      </c>
      <c r="B12" s="344"/>
      <c r="C12" s="228"/>
      <c r="G12" s="257"/>
    </row>
    <row r="13" spans="1:7" ht="20.149999999999999" customHeight="1" x14ac:dyDescent="0.35">
      <c r="A13" s="344" t="s">
        <v>9</v>
      </c>
      <c r="B13" s="344"/>
      <c r="C13" s="228"/>
      <c r="G13" s="257"/>
    </row>
    <row r="14" spans="1:7" ht="20.149999999999999" customHeight="1" x14ac:dyDescent="0.35">
      <c r="A14" s="349"/>
      <c r="B14" s="349"/>
      <c r="C14" s="225"/>
      <c r="G14" s="257"/>
    </row>
    <row r="15" spans="1:7" ht="20.149999999999999" customHeight="1" x14ac:dyDescent="0.35">
      <c r="A15" s="349" t="s">
        <v>10</v>
      </c>
      <c r="B15" s="349"/>
      <c r="C15" s="226"/>
      <c r="G15" s="257"/>
    </row>
    <row r="16" spans="1:7" ht="20.149999999999999" customHeight="1" x14ac:dyDescent="0.35">
      <c r="A16" s="344" t="s">
        <v>11</v>
      </c>
      <c r="B16" s="344"/>
      <c r="C16" s="229"/>
      <c r="G16" s="257" t="s">
        <v>12</v>
      </c>
    </row>
    <row r="17" spans="1:3" ht="20.149999999999999" customHeight="1" x14ac:dyDescent="0.35">
      <c r="A17" s="344" t="s">
        <v>13</v>
      </c>
      <c r="B17" s="344"/>
      <c r="C17" s="230"/>
    </row>
    <row r="18" spans="1:3" ht="20.149999999999999" customHeight="1" x14ac:dyDescent="0.35">
      <c r="A18" s="344" t="s">
        <v>14</v>
      </c>
      <c r="B18" s="344"/>
      <c r="C18" s="229"/>
    </row>
    <row r="19" spans="1:3" ht="20.149999999999999" customHeight="1" x14ac:dyDescent="0.35">
      <c r="A19" s="344" t="s">
        <v>15</v>
      </c>
      <c r="B19" s="344"/>
      <c r="C19" s="231"/>
    </row>
    <row r="20" spans="1:3" ht="20.149999999999999" customHeight="1" x14ac:dyDescent="0.35">
      <c r="A20" s="346" t="s">
        <v>16</v>
      </c>
      <c r="B20" s="346"/>
      <c r="C20" s="232"/>
    </row>
    <row r="21" spans="1:3" ht="20.149999999999999" customHeight="1" x14ac:dyDescent="0.35">
      <c r="A21" s="346" t="s">
        <v>17</v>
      </c>
      <c r="B21" s="346"/>
      <c r="C21" s="233"/>
    </row>
    <row r="22" spans="1:3" ht="20.149999999999999" customHeight="1" x14ac:dyDescent="0.35">
      <c r="A22" s="346" t="s">
        <v>18</v>
      </c>
      <c r="B22" s="346"/>
      <c r="C22" s="234"/>
    </row>
    <row r="23" spans="1:3" ht="20.149999999999999" customHeight="1" x14ac:dyDescent="0.35">
      <c r="A23" s="344" t="s">
        <v>19</v>
      </c>
      <c r="B23" s="344"/>
      <c r="C23" s="18"/>
    </row>
    <row r="24" spans="1:3" x14ac:dyDescent="0.35">
      <c r="A24" s="344"/>
      <c r="B24" s="344"/>
      <c r="C24" s="18"/>
    </row>
    <row r="25" spans="1:3" ht="103.5" customHeight="1" x14ac:dyDescent="0.35">
      <c r="A25" s="345" t="s">
        <v>20</v>
      </c>
      <c r="B25" s="345"/>
      <c r="C25" s="287"/>
    </row>
  </sheetData>
  <sheetProtection algorithmName="SHA-512" hashValue="1KVsUt2gVkDaza44nH0zpRxaCrEdkJATSpO9gxs7T/VXFOQ7BEdlXWUr+LflegfwOdXPAV01cpiyIYQaeAUSMQ==" saltValue="PWb2uweAeaHkV7hbCiWlkQ==" spinCount="100000" sheet="1" formatCells="0" selectLockedCells="1"/>
  <mergeCells count="20">
    <mergeCell ref="A16:B16"/>
    <mergeCell ref="A2:C2"/>
    <mergeCell ref="A7:C7"/>
    <mergeCell ref="A8:B8"/>
    <mergeCell ref="A9:B9"/>
    <mergeCell ref="A10:B10"/>
    <mergeCell ref="A11:B11"/>
    <mergeCell ref="A12:B12"/>
    <mergeCell ref="A13:B13"/>
    <mergeCell ref="A14:B14"/>
    <mergeCell ref="A15:B15"/>
    <mergeCell ref="A24:B24"/>
    <mergeCell ref="A25:B25"/>
    <mergeCell ref="A22:B22"/>
    <mergeCell ref="A23:B23"/>
    <mergeCell ref="A17:B17"/>
    <mergeCell ref="A18:B18"/>
    <mergeCell ref="A19:B19"/>
    <mergeCell ref="A20:B20"/>
    <mergeCell ref="A21:B2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2"/>
  <sheetViews>
    <sheetView zoomScaleNormal="100" workbookViewId="0">
      <selection activeCell="E8" sqref="E8"/>
    </sheetView>
  </sheetViews>
  <sheetFormatPr defaultColWidth="9.1796875" defaultRowHeight="14.5" x14ac:dyDescent="0.35"/>
  <cols>
    <col min="1" max="1" width="29.81640625" style="235" customWidth="1"/>
    <col min="2" max="2" width="26.26953125" style="235" customWidth="1"/>
    <col min="3" max="3" width="26.1796875" style="235" customWidth="1"/>
    <col min="4" max="5" width="23.54296875" style="235" customWidth="1"/>
    <col min="6" max="16384" width="9.1796875" style="235"/>
  </cols>
  <sheetData>
    <row r="1" spans="1:5" ht="31" x14ac:dyDescent="0.7">
      <c r="A1" s="208" t="s">
        <v>21</v>
      </c>
      <c r="B1"/>
      <c r="C1"/>
      <c r="D1"/>
    </row>
    <row r="2" spans="1:5" x14ac:dyDescent="0.35">
      <c r="A2" s="76" t="s">
        <v>22</v>
      </c>
    </row>
    <row r="3" spans="1:5" x14ac:dyDescent="0.35">
      <c r="A3" s="76" t="s">
        <v>23</v>
      </c>
    </row>
    <row r="4" spans="1:5" x14ac:dyDescent="0.35">
      <c r="A4" s="76" t="s">
        <v>24</v>
      </c>
    </row>
    <row r="5" spans="1:5" x14ac:dyDescent="0.35">
      <c r="A5"/>
      <c r="B5"/>
      <c r="C5"/>
      <c r="D5"/>
    </row>
    <row r="6" spans="1:5" ht="31" x14ac:dyDescent="0.7">
      <c r="A6"/>
      <c r="B6" s="352" t="s">
        <v>25</v>
      </c>
      <c r="C6" s="352"/>
      <c r="D6" s="352"/>
      <c r="E6" s="352"/>
    </row>
    <row r="7" spans="1:5" ht="18.5" x14ac:dyDescent="0.45">
      <c r="A7" s="209"/>
      <c r="B7" s="236" t="s">
        <v>26</v>
      </c>
      <c r="C7" s="236" t="s">
        <v>27</v>
      </c>
      <c r="D7" s="236" t="s">
        <v>28</v>
      </c>
      <c r="E7" s="236" t="s">
        <v>29</v>
      </c>
    </row>
    <row r="8" spans="1:5" ht="18.5" x14ac:dyDescent="0.45">
      <c r="A8" s="210" t="s">
        <v>30</v>
      </c>
      <c r="B8" s="211">
        <v>15</v>
      </c>
      <c r="C8" s="218">
        <f>'4. Resilience'!F2</f>
        <v>0</v>
      </c>
      <c r="D8" s="343" t="str">
        <f>IF(C8&gt;=10, "Y","")</f>
        <v/>
      </c>
      <c r="E8" s="342"/>
    </row>
    <row r="9" spans="1:5" ht="18.5" x14ac:dyDescent="0.45">
      <c r="A9" s="212" t="s">
        <v>31</v>
      </c>
      <c r="B9" s="211">
        <v>15</v>
      </c>
      <c r="C9" s="218">
        <f>'5. Whole Life Carbon'!H2</f>
        <v>0</v>
      </c>
      <c r="D9" s="343" t="str">
        <f>IF(C9&gt;=10, "Y","")</f>
        <v/>
      </c>
      <c r="E9" s="342"/>
    </row>
    <row r="10" spans="1:5" ht="18.5" x14ac:dyDescent="0.45">
      <c r="A10" s="213" t="s">
        <v>32</v>
      </c>
      <c r="B10" s="211">
        <v>15</v>
      </c>
      <c r="C10" s="218">
        <f>'6. Health&amp;Wellbeing'!H2</f>
        <v>0</v>
      </c>
      <c r="D10" s="343" t="str">
        <f>IF(C10&gt;=10, "Y","")</f>
        <v/>
      </c>
      <c r="E10" s="342"/>
    </row>
    <row r="11" spans="1:5" ht="18.5" x14ac:dyDescent="0.45">
      <c r="A11" s="214" t="s">
        <v>33</v>
      </c>
      <c r="B11" s="211">
        <v>15</v>
      </c>
      <c r="C11" s="218">
        <f>'7. Intelligence'!F2</f>
        <v>0</v>
      </c>
      <c r="D11" s="343" t="str">
        <f>IF(C11&gt;=10, "Y","")</f>
        <v/>
      </c>
      <c r="E11" s="342"/>
    </row>
    <row r="12" spans="1:5" ht="18.5" x14ac:dyDescent="0.45">
      <c r="A12" s="237" t="s">
        <v>34</v>
      </c>
      <c r="B12" s="211">
        <v>15</v>
      </c>
      <c r="C12" s="218">
        <f>D32</f>
        <v>0</v>
      </c>
      <c r="D12" s="343" t="str">
        <f>IF('8. Maintainability'!C74="Yes","Y","")</f>
        <v/>
      </c>
      <c r="E12" s="342"/>
    </row>
    <row r="13" spans="1:5" ht="18.5" x14ac:dyDescent="0.45">
      <c r="A13" s="215" t="s">
        <v>35</v>
      </c>
      <c r="B13" s="236">
        <v>75</v>
      </c>
      <c r="C13" s="218">
        <f>SUM(C8:C12)</f>
        <v>0</v>
      </c>
      <c r="D13" s="75"/>
      <c r="E13" s="342"/>
    </row>
    <row r="14" spans="1:5" x14ac:dyDescent="0.35">
      <c r="A14"/>
      <c r="B14"/>
      <c r="C14"/>
      <c r="D14"/>
    </row>
    <row r="15" spans="1:5" x14ac:dyDescent="0.35">
      <c r="A15"/>
      <c r="B15"/>
      <c r="C15"/>
      <c r="D15"/>
    </row>
    <row r="16" spans="1:5" x14ac:dyDescent="0.35">
      <c r="A16"/>
      <c r="B16"/>
      <c r="C16"/>
      <c r="D16"/>
    </row>
    <row r="17" spans="1:4" ht="18.5" x14ac:dyDescent="0.45">
      <c r="A17" s="350" t="s">
        <v>36</v>
      </c>
      <c r="B17" s="350"/>
      <c r="C17" s="236" t="s">
        <v>26</v>
      </c>
      <c r="D17" s="236" t="s">
        <v>27</v>
      </c>
    </row>
    <row r="18" spans="1:4" ht="18.5" x14ac:dyDescent="0.45">
      <c r="A18" s="210" t="s">
        <v>37</v>
      </c>
      <c r="B18" s="210" t="s">
        <v>38</v>
      </c>
      <c r="C18" s="211">
        <v>5</v>
      </c>
      <c r="D18" s="218">
        <f>'4. Resilience'!F3</f>
        <v>0</v>
      </c>
    </row>
    <row r="19" spans="1:4" ht="18.5" x14ac:dyDescent="0.45">
      <c r="A19" s="210" t="s">
        <v>39</v>
      </c>
      <c r="B19" s="210" t="s">
        <v>40</v>
      </c>
      <c r="C19" s="211">
        <v>5</v>
      </c>
      <c r="D19" s="218">
        <f>'4. Resilience'!F28</f>
        <v>0</v>
      </c>
    </row>
    <row r="20" spans="1:4" ht="18.5" x14ac:dyDescent="0.45">
      <c r="A20" s="210" t="s">
        <v>41</v>
      </c>
      <c r="B20" s="210" t="s">
        <v>42</v>
      </c>
      <c r="C20" s="211">
        <v>5</v>
      </c>
      <c r="D20" s="218">
        <f>'4. Resilience'!F54</f>
        <v>0</v>
      </c>
    </row>
    <row r="21" spans="1:4" ht="18.5" x14ac:dyDescent="0.45">
      <c r="A21" s="212" t="s">
        <v>43</v>
      </c>
      <c r="B21" s="212" t="s">
        <v>44</v>
      </c>
      <c r="C21" s="211">
        <v>5</v>
      </c>
      <c r="D21" s="218">
        <f>'5. Whole Life Carbon'!H3</f>
        <v>0</v>
      </c>
    </row>
    <row r="22" spans="1:4" ht="18.5" x14ac:dyDescent="0.45">
      <c r="A22" s="212" t="s">
        <v>45</v>
      </c>
      <c r="B22" s="212" t="s">
        <v>46</v>
      </c>
      <c r="C22" s="211">
        <v>5</v>
      </c>
      <c r="D22" s="218">
        <f>'5. Whole Life Carbon'!H30</f>
        <v>0</v>
      </c>
    </row>
    <row r="23" spans="1:4" ht="18.5" x14ac:dyDescent="0.45">
      <c r="A23" s="212" t="s">
        <v>47</v>
      </c>
      <c r="B23" s="212" t="s">
        <v>48</v>
      </c>
      <c r="C23" s="211">
        <v>5</v>
      </c>
      <c r="D23" s="218">
        <f>'5. Whole Life Carbon'!H69</f>
        <v>0</v>
      </c>
    </row>
    <row r="24" spans="1:4" ht="18.5" x14ac:dyDescent="0.45">
      <c r="A24" s="213" t="s">
        <v>49</v>
      </c>
      <c r="B24" s="213" t="s">
        <v>50</v>
      </c>
      <c r="C24" s="211">
        <v>5</v>
      </c>
      <c r="D24" s="218">
        <f>'6. Health&amp;Wellbeing'!H3</f>
        <v>0</v>
      </c>
    </row>
    <row r="25" spans="1:4" ht="18.5" x14ac:dyDescent="0.45">
      <c r="A25" s="213" t="s">
        <v>51</v>
      </c>
      <c r="B25" s="213" t="s">
        <v>52</v>
      </c>
      <c r="C25" s="211">
        <v>5</v>
      </c>
      <c r="D25" s="218">
        <f>'6. Health&amp;Wellbeing'!H44</f>
        <v>0</v>
      </c>
    </row>
    <row r="26" spans="1:4" ht="18.5" x14ac:dyDescent="0.45">
      <c r="A26" s="213" t="s">
        <v>53</v>
      </c>
      <c r="B26" s="213" t="s">
        <v>54</v>
      </c>
      <c r="C26" s="211">
        <v>5</v>
      </c>
      <c r="D26" s="218">
        <f>'6. Health&amp;Wellbeing'!H69</f>
        <v>0</v>
      </c>
    </row>
    <row r="27" spans="1:4" ht="18.5" x14ac:dyDescent="0.45">
      <c r="A27" s="214" t="s">
        <v>55</v>
      </c>
      <c r="B27" s="214" t="s">
        <v>56</v>
      </c>
      <c r="C27" s="211">
        <v>5</v>
      </c>
      <c r="D27" s="218">
        <f>'7. Intelligence'!F3</f>
        <v>0</v>
      </c>
    </row>
    <row r="28" spans="1:4" ht="18.5" x14ac:dyDescent="0.45">
      <c r="A28" s="214" t="s">
        <v>57</v>
      </c>
      <c r="B28" s="214" t="s">
        <v>58</v>
      </c>
      <c r="C28" s="211">
        <v>5</v>
      </c>
      <c r="D28" s="218">
        <f>'7. Intelligence'!F21</f>
        <v>0</v>
      </c>
    </row>
    <row r="29" spans="1:4" ht="18.5" x14ac:dyDescent="0.45">
      <c r="A29" s="214" t="s">
        <v>59</v>
      </c>
      <c r="B29" s="214" t="s">
        <v>60</v>
      </c>
      <c r="C29" s="211">
        <v>5</v>
      </c>
      <c r="D29" s="218">
        <f>'7. Intelligence'!F35</f>
        <v>0</v>
      </c>
    </row>
    <row r="30" spans="1:4" x14ac:dyDescent="0.35">
      <c r="A30"/>
      <c r="B30"/>
      <c r="C30"/>
      <c r="D30"/>
    </row>
    <row r="31" spans="1:4" ht="37" x14ac:dyDescent="0.35">
      <c r="A31" s="351" t="s">
        <v>34</v>
      </c>
      <c r="B31" s="216" t="s">
        <v>61</v>
      </c>
      <c r="C31" s="216" t="s">
        <v>62</v>
      </c>
      <c r="D31" s="216" t="s">
        <v>63</v>
      </c>
    </row>
    <row r="32" spans="1:4" ht="18.75" customHeight="1" x14ac:dyDescent="0.45">
      <c r="A32" s="351"/>
      <c r="B32" s="217">
        <f>'8. Maintainability'!C7</f>
        <v>124</v>
      </c>
      <c r="C32" s="218">
        <f>IF(AND('8. Maintainability'!E71=0,'8. Maintainability'!G71=""),0,IF('8. Maintainability'!E71=0,'8. Maintainability'!G71,'8. Maintainability'!E71))</f>
        <v>0</v>
      </c>
      <c r="D32" s="218">
        <f>IF('8. Maintainability'!C73="",0,'8. Maintainability'!C73)</f>
        <v>0</v>
      </c>
    </row>
  </sheetData>
  <sheetProtection algorithmName="SHA-512" hashValue="TX4JJwtSx82njHdEngHKh+1dZ5GvBnm2lwXYB1E8n4JSsqmMGKYXKaO6fjPaJFOQczSNNw3cJ9TGLAyeAQl9vA==" saltValue="8XcVqKzQS3Lkk9pcscBJPg==" spinCount="100000" sheet="1" formatCells="0" selectLockedCells="1"/>
  <mergeCells count="3">
    <mergeCell ref="A17:B17"/>
    <mergeCell ref="A31:A32"/>
    <mergeCell ref="B6:E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4"/>
  <sheetViews>
    <sheetView zoomScaleNormal="100" workbookViewId="0">
      <selection activeCell="C3" sqref="C3"/>
    </sheetView>
  </sheetViews>
  <sheetFormatPr defaultColWidth="8.7265625" defaultRowHeight="14.5" x14ac:dyDescent="0.35"/>
  <cols>
    <col min="1" max="1" width="8.7265625" style="235" customWidth="1"/>
    <col min="2" max="2" width="65.7265625" style="235" customWidth="1"/>
    <col min="3" max="4" width="10.7265625" style="235" customWidth="1"/>
    <col min="5" max="5" width="27.453125" style="235" customWidth="1"/>
    <col min="6" max="6" width="8.7265625" style="235"/>
    <col min="7" max="7" width="15.54296875" style="235" customWidth="1"/>
    <col min="8" max="8" width="17.26953125" style="235" customWidth="1"/>
    <col min="9" max="16384" width="8.7265625" style="235"/>
  </cols>
  <sheetData>
    <row r="1" spans="1:5" ht="31" x14ac:dyDescent="0.35">
      <c r="A1" s="355" t="s">
        <v>64</v>
      </c>
      <c r="B1" s="355"/>
      <c r="C1" s="260" t="s">
        <v>65</v>
      </c>
      <c r="D1" s="19" t="s">
        <v>66</v>
      </c>
      <c r="E1" s="19" t="s">
        <v>67</v>
      </c>
    </row>
    <row r="2" spans="1:5" ht="21" x14ac:dyDescent="0.35">
      <c r="A2" s="354" t="s">
        <v>68</v>
      </c>
      <c r="B2" s="354"/>
      <c r="C2" s="261"/>
      <c r="D2" s="202"/>
      <c r="E2" s="202"/>
    </row>
    <row r="3" spans="1:5" ht="15.5" x14ac:dyDescent="0.35">
      <c r="A3" s="75"/>
      <c r="B3" s="7" t="s">
        <v>69</v>
      </c>
      <c r="C3" s="17"/>
      <c r="D3" s="32" t="s">
        <v>70</v>
      </c>
      <c r="E3" s="290"/>
    </row>
    <row r="4" spans="1:5" ht="15.5" x14ac:dyDescent="0.35">
      <c r="A4" s="353" t="s">
        <v>71</v>
      </c>
      <c r="B4" s="353"/>
      <c r="C4" s="203"/>
      <c r="D4" s="203"/>
      <c r="E4" s="203"/>
    </row>
    <row r="5" spans="1:5" ht="15.5" x14ac:dyDescent="0.35">
      <c r="A5" s="75"/>
      <c r="B5" s="7" t="s">
        <v>72</v>
      </c>
      <c r="C5" s="17"/>
      <c r="D5" s="32" t="s">
        <v>73</v>
      </c>
      <c r="E5" s="290"/>
    </row>
    <row r="6" spans="1:5" ht="15.5" x14ac:dyDescent="0.35">
      <c r="A6" s="353" t="s">
        <v>74</v>
      </c>
      <c r="B6" s="353"/>
      <c r="C6" s="204"/>
      <c r="D6" s="204"/>
      <c r="E6" s="204"/>
    </row>
    <row r="7" spans="1:5" ht="15.5" x14ac:dyDescent="0.35">
      <c r="A7" s="238" t="s">
        <v>75</v>
      </c>
      <c r="B7" s="205" t="s">
        <v>76</v>
      </c>
      <c r="C7" s="17"/>
      <c r="D7" s="32" t="s">
        <v>73</v>
      </c>
      <c r="E7" s="290"/>
    </row>
    <row r="8" spans="1:5" ht="15.5" x14ac:dyDescent="0.35">
      <c r="A8" s="238" t="s">
        <v>77</v>
      </c>
      <c r="B8" s="8" t="s">
        <v>78</v>
      </c>
      <c r="C8" s="17"/>
      <c r="D8" s="32" t="s">
        <v>79</v>
      </c>
      <c r="E8" s="290"/>
    </row>
    <row r="9" spans="1:5" ht="15.5" x14ac:dyDescent="0.35">
      <c r="A9" s="356" t="s">
        <v>80</v>
      </c>
      <c r="B9" s="8" t="s">
        <v>81</v>
      </c>
      <c r="C9" s="17"/>
      <c r="D9" s="32" t="s">
        <v>73</v>
      </c>
      <c r="E9" s="290"/>
    </row>
    <row r="10" spans="1:5" ht="15.5" x14ac:dyDescent="0.35">
      <c r="A10" s="356"/>
      <c r="B10" s="8" t="s">
        <v>82</v>
      </c>
      <c r="C10" s="32"/>
      <c r="D10" s="32"/>
      <c r="E10" s="290"/>
    </row>
    <row r="11" spans="1:5" ht="15.5" x14ac:dyDescent="0.35">
      <c r="A11" s="356"/>
      <c r="B11" s="8" t="s">
        <v>83</v>
      </c>
      <c r="C11" s="17"/>
      <c r="D11" s="32" t="s">
        <v>73</v>
      </c>
      <c r="E11" s="290"/>
    </row>
    <row r="12" spans="1:5" ht="15.5" x14ac:dyDescent="0.35">
      <c r="A12" s="356"/>
      <c r="B12" s="8" t="s">
        <v>84</v>
      </c>
      <c r="C12" s="17"/>
      <c r="D12" s="32" t="s">
        <v>73</v>
      </c>
      <c r="E12" s="290"/>
    </row>
    <row r="13" spans="1:5" ht="15.5" x14ac:dyDescent="0.35">
      <c r="A13" s="238" t="s">
        <v>85</v>
      </c>
      <c r="B13" s="8" t="s">
        <v>86</v>
      </c>
      <c r="C13" s="17"/>
      <c r="D13" s="32" t="s">
        <v>73</v>
      </c>
      <c r="E13" s="290"/>
    </row>
    <row r="14" spans="1:5" ht="15.5" x14ac:dyDescent="0.35">
      <c r="A14" s="238" t="s">
        <v>87</v>
      </c>
      <c r="B14" s="8" t="s">
        <v>88</v>
      </c>
      <c r="C14" s="17"/>
      <c r="D14" s="143" t="s">
        <v>79</v>
      </c>
      <c r="E14" s="291"/>
    </row>
    <row r="15" spans="1:5" ht="15.5" x14ac:dyDescent="0.35">
      <c r="A15" s="356" t="s">
        <v>89</v>
      </c>
      <c r="B15" s="8" t="s">
        <v>90</v>
      </c>
      <c r="C15" s="75"/>
      <c r="D15" s="75"/>
      <c r="E15" s="18"/>
    </row>
    <row r="16" spans="1:5" ht="46.5" x14ac:dyDescent="0.35">
      <c r="A16" s="356"/>
      <c r="B16" s="9" t="s">
        <v>91</v>
      </c>
      <c r="C16" s="17"/>
      <c r="D16" s="32" t="s">
        <v>70</v>
      </c>
      <c r="E16" s="290"/>
    </row>
    <row r="17" spans="1:5" ht="15.5" x14ac:dyDescent="0.35">
      <c r="A17" s="356"/>
      <c r="B17" s="206" t="s">
        <v>92</v>
      </c>
      <c r="C17" s="17"/>
      <c r="D17" s="32" t="s">
        <v>70</v>
      </c>
      <c r="E17" s="290"/>
    </row>
    <row r="18" spans="1:5" ht="31" x14ac:dyDescent="0.35">
      <c r="A18" s="356"/>
      <c r="B18" s="9" t="s">
        <v>93</v>
      </c>
      <c r="C18" s="17"/>
      <c r="D18" s="32" t="s">
        <v>70</v>
      </c>
      <c r="E18" s="290"/>
    </row>
    <row r="19" spans="1:5" ht="46.5" x14ac:dyDescent="0.35">
      <c r="A19" s="356"/>
      <c r="B19" s="9" t="s">
        <v>94</v>
      </c>
      <c r="C19" s="17"/>
      <c r="D19" s="32" t="s">
        <v>70</v>
      </c>
      <c r="E19" s="290"/>
    </row>
    <row r="20" spans="1:5" ht="31" x14ac:dyDescent="0.35">
      <c r="A20" s="238" t="s">
        <v>95</v>
      </c>
      <c r="B20" s="9" t="s">
        <v>96</v>
      </c>
      <c r="C20" s="207"/>
      <c r="D20" s="32" t="s">
        <v>73</v>
      </c>
      <c r="E20" s="290"/>
    </row>
    <row r="21" spans="1:5" ht="31" x14ac:dyDescent="0.35">
      <c r="A21" s="238" t="s">
        <v>97</v>
      </c>
      <c r="B21" s="9" t="s">
        <v>98</v>
      </c>
      <c r="C21" s="207"/>
      <c r="D21" s="32" t="s">
        <v>73</v>
      </c>
      <c r="E21" s="290"/>
    </row>
    <row r="22" spans="1:5" ht="15.5" x14ac:dyDescent="0.35">
      <c r="A22" s="353" t="s">
        <v>99</v>
      </c>
      <c r="B22" s="353"/>
      <c r="C22" s="204"/>
      <c r="D22" s="204"/>
      <c r="E22" s="204"/>
    </row>
    <row r="23" spans="1:5" ht="15.5" x14ac:dyDescent="0.35">
      <c r="A23" s="238" t="s">
        <v>75</v>
      </c>
      <c r="B23" s="43" t="s">
        <v>100</v>
      </c>
      <c r="C23" s="207"/>
      <c r="D23" s="32" t="s">
        <v>73</v>
      </c>
      <c r="E23" s="290"/>
    </row>
    <row r="24" spans="1:5" ht="15.5" x14ac:dyDescent="0.35">
      <c r="A24" s="238" t="s">
        <v>77</v>
      </c>
      <c r="B24" s="43" t="s">
        <v>101</v>
      </c>
      <c r="C24" s="207"/>
      <c r="D24" s="32" t="s">
        <v>73</v>
      </c>
      <c r="E24" s="290"/>
    </row>
  </sheetData>
  <sheetProtection algorithmName="SHA-512" hashValue="4Cjd2CsSVGD7sNWCNle5Xvj1qaS25QvPDy95GzlVhT0Fin5qjDen2raumEcZoUXkA/3aKW7zeDYyECiuPArpPg==" saltValue="KiEOULNTBAFjAva1Qx5lpg==" spinCount="100000" sheet="1" formatCells="0" selectLockedCells="1"/>
  <mergeCells count="7">
    <mergeCell ref="A6:B6"/>
    <mergeCell ref="A4:B4"/>
    <mergeCell ref="A2:B2"/>
    <mergeCell ref="A1:B1"/>
    <mergeCell ref="A22:B22"/>
    <mergeCell ref="A9:A12"/>
    <mergeCell ref="A15:A19"/>
  </mergeCells>
  <dataValidations count="4">
    <dataValidation type="decimal" allowBlank="1" showInputMessage="1" showErrorMessage="1" sqref="C14 C8" xr:uid="{00000000-0002-0000-0200-000000000000}">
      <formula1>0</formula1>
      <formula2>100</formula2>
    </dataValidation>
    <dataValidation type="list" allowBlank="1" showInputMessage="1" showErrorMessage="1" sqref="C3 C16:C19" xr:uid="{00000000-0002-0000-0200-000001000000}">
      <formula1>"Y,N"</formula1>
    </dataValidation>
    <dataValidation type="decimal" allowBlank="1" showInputMessage="1" showErrorMessage="1" sqref="C5 C7 C9:C13" xr:uid="{00000000-0002-0000-0200-000002000000}">
      <formula1>0</formula1>
      <formula2>1000</formula2>
    </dataValidation>
    <dataValidation type="decimal" allowBlank="1" showInputMessage="1" showErrorMessage="1" sqref="C20:C21 C23:C24" xr:uid="{00000000-0002-0000-0200-000003000000}">
      <formula1>0</formula1>
      <formula2>10000</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69"/>
  <sheetViews>
    <sheetView zoomScaleNormal="100" zoomScalePageLayoutView="55" workbookViewId="0">
      <selection activeCell="C6" sqref="C6"/>
    </sheetView>
  </sheetViews>
  <sheetFormatPr defaultColWidth="8.7265625" defaultRowHeight="15.5" x14ac:dyDescent="0.35"/>
  <cols>
    <col min="1" max="1" width="8.26953125" style="263" customWidth="1"/>
    <col min="2" max="2" width="65.7265625" style="235" customWidth="1"/>
    <col min="3" max="4" width="10.7265625" style="235" customWidth="1"/>
    <col min="5" max="5" width="19.1796875" style="235" customWidth="1"/>
    <col min="6" max="6" width="10.7265625" style="235" customWidth="1"/>
    <col min="7" max="7" width="30.7265625" style="235" customWidth="1"/>
    <col min="8" max="8" width="8.7265625" style="235"/>
    <col min="9" max="9" width="10.7265625" style="235" customWidth="1"/>
    <col min="10" max="11" width="15.7265625" style="235" customWidth="1"/>
    <col min="12" max="12" width="50.7265625" style="235" customWidth="1"/>
    <col min="13" max="16384" width="8.7265625" style="235"/>
  </cols>
  <sheetData>
    <row r="1" spans="1:11" ht="31" x14ac:dyDescent="0.35">
      <c r="A1" s="2"/>
      <c r="B1" s="3" t="s">
        <v>102</v>
      </c>
      <c r="C1" s="19" t="s">
        <v>65</v>
      </c>
      <c r="D1" s="19" t="s">
        <v>66</v>
      </c>
      <c r="E1" s="20" t="s">
        <v>103</v>
      </c>
      <c r="F1" s="19" t="s">
        <v>104</v>
      </c>
      <c r="G1" s="3" t="s">
        <v>67</v>
      </c>
    </row>
    <row r="2" spans="1:11" ht="21" x14ac:dyDescent="0.35">
      <c r="A2" s="379" t="s">
        <v>30</v>
      </c>
      <c r="B2" s="380"/>
      <c r="C2" s="380"/>
      <c r="D2" s="381"/>
      <c r="E2" s="118">
        <v>15</v>
      </c>
      <c r="F2" s="292">
        <f>MIN(SUM(F3,F28,F54,F66), 15)</f>
        <v>0</v>
      </c>
      <c r="G2" s="119" t="s">
        <v>105</v>
      </c>
      <c r="H2" s="357"/>
      <c r="I2" s="358"/>
      <c r="J2" s="358"/>
      <c r="K2" s="358"/>
    </row>
    <row r="3" spans="1:11" x14ac:dyDescent="0.35">
      <c r="A3" s="120" t="s">
        <v>106</v>
      </c>
      <c r="B3" s="369" t="s">
        <v>107</v>
      </c>
      <c r="C3" s="369"/>
      <c r="D3" s="369"/>
      <c r="E3" s="121">
        <v>5</v>
      </c>
      <c r="F3" s="293">
        <f>MIN(SUM(F27,F23,F20,F16,F8),5)</f>
        <v>0</v>
      </c>
      <c r="G3" s="120"/>
      <c r="H3" s="357"/>
      <c r="I3" s="358"/>
      <c r="J3" s="358"/>
      <c r="K3" s="358"/>
    </row>
    <row r="4" spans="1:11" x14ac:dyDescent="0.35">
      <c r="A4" s="122" t="s">
        <v>108</v>
      </c>
      <c r="B4" s="123" t="s">
        <v>109</v>
      </c>
      <c r="C4" s="124"/>
      <c r="D4" s="125"/>
      <c r="E4" s="126"/>
      <c r="F4" s="294"/>
      <c r="G4" s="127"/>
      <c r="H4" s="357"/>
      <c r="I4" s="358"/>
      <c r="J4" s="358"/>
      <c r="K4" s="358"/>
    </row>
    <row r="5" spans="1:11" x14ac:dyDescent="0.35">
      <c r="A5" s="128" t="s">
        <v>110</v>
      </c>
      <c r="B5" s="129" t="s">
        <v>111</v>
      </c>
      <c r="C5" s="130"/>
      <c r="D5" s="131"/>
      <c r="E5" s="132"/>
      <c r="F5" s="295"/>
      <c r="G5" s="133"/>
      <c r="H5" s="357"/>
      <c r="I5" s="358"/>
      <c r="J5" s="358"/>
      <c r="K5" s="358"/>
    </row>
    <row r="6" spans="1:11" ht="31" x14ac:dyDescent="0.35">
      <c r="A6" s="6" t="s">
        <v>75</v>
      </c>
      <c r="B6" s="7" t="s">
        <v>112</v>
      </c>
      <c r="C6" s="4"/>
      <c r="D6" s="32" t="s">
        <v>70</v>
      </c>
      <c r="E6" s="240" t="s">
        <v>113</v>
      </c>
      <c r="F6" s="296">
        <f>IF(C6="Y",1,0)</f>
        <v>0</v>
      </c>
      <c r="G6" s="47"/>
      <c r="H6" s="357"/>
      <c r="I6" s="358"/>
      <c r="J6" s="358"/>
      <c r="K6" s="358"/>
    </row>
    <row r="7" spans="1:11" ht="46.5" x14ac:dyDescent="0.35">
      <c r="A7" s="6" t="s">
        <v>77</v>
      </c>
      <c r="B7" s="7" t="s">
        <v>114</v>
      </c>
      <c r="C7" s="4"/>
      <c r="D7" s="32" t="s">
        <v>70</v>
      </c>
      <c r="E7" s="242" t="s">
        <v>113</v>
      </c>
      <c r="F7" s="296">
        <f>IF((C7="Y")*AND(C6="Y"),1,0)</f>
        <v>0</v>
      </c>
      <c r="G7" s="47"/>
      <c r="H7" s="357"/>
      <c r="I7" s="358"/>
      <c r="J7" s="358"/>
      <c r="K7" s="358"/>
    </row>
    <row r="8" spans="1:11" x14ac:dyDescent="0.35">
      <c r="A8" s="134"/>
      <c r="B8" s="370" t="s">
        <v>115</v>
      </c>
      <c r="C8" s="371"/>
      <c r="D8" s="371"/>
      <c r="E8" s="371"/>
      <c r="F8" s="297">
        <f>MIN((F6+F7),2)</f>
        <v>0</v>
      </c>
      <c r="G8" s="135"/>
      <c r="H8" s="357"/>
      <c r="I8" s="358"/>
      <c r="J8" s="358"/>
      <c r="K8" s="358"/>
    </row>
    <row r="9" spans="1:11" x14ac:dyDescent="0.35">
      <c r="A9" s="136" t="s">
        <v>116</v>
      </c>
      <c r="B9" s="137" t="s">
        <v>117</v>
      </c>
      <c r="C9" s="138"/>
      <c r="D9" s="139"/>
      <c r="E9" s="132"/>
      <c r="F9" s="298"/>
      <c r="G9" s="133"/>
      <c r="H9" s="357"/>
      <c r="I9" s="358"/>
      <c r="J9" s="358"/>
      <c r="K9" s="358"/>
    </row>
    <row r="10" spans="1:11" ht="31" x14ac:dyDescent="0.35">
      <c r="A10" s="387" t="s">
        <v>75</v>
      </c>
      <c r="B10" s="140" t="s">
        <v>118</v>
      </c>
      <c r="C10" s="141"/>
      <c r="D10" s="41"/>
      <c r="E10" s="39"/>
      <c r="F10" s="299"/>
      <c r="G10" s="196"/>
      <c r="H10" s="357"/>
      <c r="I10" s="358"/>
      <c r="J10" s="358"/>
      <c r="K10" s="358"/>
    </row>
    <row r="11" spans="1:11" x14ac:dyDescent="0.35">
      <c r="A11" s="388"/>
      <c r="B11" s="142" t="s">
        <v>119</v>
      </c>
      <c r="C11" s="4"/>
      <c r="D11" s="32" t="s">
        <v>70</v>
      </c>
      <c r="E11" s="242" t="s">
        <v>113</v>
      </c>
      <c r="F11" s="296">
        <f>IF(C11="Y",1,0)</f>
        <v>0</v>
      </c>
      <c r="G11" s="196"/>
      <c r="H11" s="357"/>
      <c r="I11" s="358"/>
      <c r="J11" s="358"/>
      <c r="K11" s="358"/>
    </row>
    <row r="12" spans="1:11" x14ac:dyDescent="0.35">
      <c r="A12" s="388"/>
      <c r="B12" s="142" t="s">
        <v>120</v>
      </c>
      <c r="C12" s="4"/>
      <c r="D12" s="32" t="s">
        <v>70</v>
      </c>
      <c r="E12" s="242" t="s">
        <v>113</v>
      </c>
      <c r="F12" s="296">
        <f>IF(C12="Y",1,0)</f>
        <v>0</v>
      </c>
      <c r="G12" s="196"/>
      <c r="H12" s="357"/>
      <c r="I12" s="358"/>
      <c r="J12" s="358"/>
      <c r="K12" s="358"/>
    </row>
    <row r="13" spans="1:11" x14ac:dyDescent="0.35">
      <c r="A13" s="388"/>
      <c r="B13" s="142" t="s">
        <v>121</v>
      </c>
      <c r="C13" s="4"/>
      <c r="D13" s="32" t="s">
        <v>70</v>
      </c>
      <c r="E13" s="242" t="s">
        <v>113</v>
      </c>
      <c r="F13" s="296">
        <f>IF(C13="Y",1,0)</f>
        <v>0</v>
      </c>
      <c r="G13" s="196"/>
      <c r="H13" s="357"/>
      <c r="I13" s="358"/>
      <c r="J13" s="358"/>
      <c r="K13" s="358"/>
    </row>
    <row r="14" spans="1:11" ht="24.75" customHeight="1" x14ac:dyDescent="0.35">
      <c r="A14" s="389" t="s">
        <v>77</v>
      </c>
      <c r="B14" s="390" t="s">
        <v>122</v>
      </c>
      <c r="C14" s="4"/>
      <c r="D14" s="32" t="s">
        <v>70</v>
      </c>
      <c r="E14" s="374" t="s">
        <v>123</v>
      </c>
      <c r="F14" s="376">
        <f>IF(C15&gt;=90,1,IF(C14="Y",0.5,0))</f>
        <v>0</v>
      </c>
      <c r="G14" s="196"/>
      <c r="H14" s="357"/>
      <c r="I14" s="358"/>
      <c r="J14" s="358"/>
      <c r="K14" s="358"/>
    </row>
    <row r="15" spans="1:11" ht="23.25" customHeight="1" x14ac:dyDescent="0.35">
      <c r="A15" s="389"/>
      <c r="B15" s="391"/>
      <c r="C15" s="195"/>
      <c r="D15" s="143" t="s">
        <v>79</v>
      </c>
      <c r="E15" s="375"/>
      <c r="F15" s="377"/>
      <c r="G15" s="47"/>
      <c r="H15" s="357"/>
      <c r="I15" s="358"/>
      <c r="J15" s="358"/>
      <c r="K15" s="358"/>
    </row>
    <row r="16" spans="1:11" x14ac:dyDescent="0.35">
      <c r="A16" s="144"/>
      <c r="B16" s="370" t="s">
        <v>124</v>
      </c>
      <c r="C16" s="371"/>
      <c r="D16" s="371"/>
      <c r="E16" s="395"/>
      <c r="F16" s="297">
        <f>MIN(SUM(F11:F15),3)</f>
        <v>0</v>
      </c>
      <c r="G16" s="145"/>
      <c r="H16" s="357"/>
      <c r="I16" s="358"/>
      <c r="J16" s="358"/>
      <c r="K16" s="358"/>
    </row>
    <row r="17" spans="1:11" x14ac:dyDescent="0.35">
      <c r="A17" s="122" t="s">
        <v>125</v>
      </c>
      <c r="B17" s="146" t="s">
        <v>126</v>
      </c>
      <c r="C17" s="147"/>
      <c r="D17" s="148"/>
      <c r="E17" s="149"/>
      <c r="F17" s="300"/>
      <c r="G17" s="150"/>
      <c r="H17" s="357"/>
      <c r="I17" s="358"/>
      <c r="J17" s="358"/>
      <c r="K17" s="358"/>
    </row>
    <row r="18" spans="1:11" x14ac:dyDescent="0.35">
      <c r="A18" s="128" t="s">
        <v>127</v>
      </c>
      <c r="B18" s="151" t="s">
        <v>128</v>
      </c>
      <c r="C18" s="152"/>
      <c r="D18" s="153"/>
      <c r="E18" s="132"/>
      <c r="F18" s="301"/>
      <c r="G18" s="133"/>
      <c r="H18" s="357"/>
      <c r="I18" s="358"/>
      <c r="J18" s="358"/>
      <c r="K18" s="358"/>
    </row>
    <row r="19" spans="1:11" ht="108.5" x14ac:dyDescent="0.35">
      <c r="A19" s="8"/>
      <c r="B19" s="43" t="s">
        <v>129</v>
      </c>
      <c r="C19" s="4"/>
      <c r="D19" s="32" t="s">
        <v>70</v>
      </c>
      <c r="E19" s="240" t="s">
        <v>130</v>
      </c>
      <c r="F19" s="296">
        <f>IF(C19="Y",2,0)</f>
        <v>0</v>
      </c>
      <c r="G19" s="47"/>
      <c r="H19" s="357"/>
      <c r="I19" s="358"/>
      <c r="J19" s="358"/>
      <c r="K19" s="358"/>
    </row>
    <row r="20" spans="1:11" x14ac:dyDescent="0.35">
      <c r="A20" s="154"/>
      <c r="B20" s="370" t="s">
        <v>131</v>
      </c>
      <c r="C20" s="371"/>
      <c r="D20" s="371"/>
      <c r="E20" s="371"/>
      <c r="F20" s="297">
        <f>F19</f>
        <v>0</v>
      </c>
      <c r="G20" s="155"/>
      <c r="H20" s="357"/>
      <c r="I20" s="358"/>
      <c r="J20" s="358"/>
      <c r="K20" s="358"/>
    </row>
    <row r="21" spans="1:11" x14ac:dyDescent="0.35">
      <c r="A21" s="128" t="s">
        <v>132</v>
      </c>
      <c r="B21" s="151" t="s">
        <v>133</v>
      </c>
      <c r="C21" s="156"/>
      <c r="D21" s="157"/>
      <c r="E21" s="132"/>
      <c r="F21" s="301"/>
      <c r="G21" s="133"/>
      <c r="H21" s="357"/>
      <c r="I21" s="358"/>
      <c r="J21" s="358"/>
      <c r="K21" s="358"/>
    </row>
    <row r="22" spans="1:11" ht="62" x14ac:dyDescent="0.35">
      <c r="A22" s="6"/>
      <c r="B22" s="158" t="s">
        <v>134</v>
      </c>
      <c r="C22" s="195"/>
      <c r="D22" s="143" t="s">
        <v>79</v>
      </c>
      <c r="E22" s="159" t="s">
        <v>135</v>
      </c>
      <c r="F22" s="302">
        <f>IF(AND(C22&gt;=50, C22&lt;80),0.5,0) + IF(C22&gt;=80,1,0)</f>
        <v>0</v>
      </c>
      <c r="G22" s="49"/>
      <c r="H22" s="357"/>
      <c r="I22" s="358"/>
      <c r="J22" s="358"/>
      <c r="K22" s="358"/>
    </row>
    <row r="23" spans="1:11" x14ac:dyDescent="0.35">
      <c r="A23" s="134"/>
      <c r="B23" s="370" t="s">
        <v>136</v>
      </c>
      <c r="C23" s="371"/>
      <c r="D23" s="371"/>
      <c r="E23" s="371"/>
      <c r="F23" s="303">
        <f>MIN(F22, 1)</f>
        <v>0</v>
      </c>
      <c r="G23" s="134"/>
      <c r="H23" s="357"/>
      <c r="I23" s="358"/>
      <c r="J23" s="358"/>
      <c r="K23" s="358"/>
    </row>
    <row r="24" spans="1:11" x14ac:dyDescent="0.35">
      <c r="A24" s="122" t="s">
        <v>137</v>
      </c>
      <c r="B24" s="146" t="s">
        <v>138</v>
      </c>
      <c r="C24" s="160"/>
      <c r="D24" s="161"/>
      <c r="E24" s="149"/>
      <c r="F24" s="304"/>
      <c r="G24" s="150"/>
      <c r="H24" s="357"/>
      <c r="I24" s="358"/>
      <c r="J24" s="358"/>
      <c r="K24" s="358"/>
    </row>
    <row r="25" spans="1:11" x14ac:dyDescent="0.35">
      <c r="A25" s="128" t="s">
        <v>137</v>
      </c>
      <c r="B25" s="151" t="s">
        <v>139</v>
      </c>
      <c r="C25" s="152"/>
      <c r="D25" s="153"/>
      <c r="E25" s="132"/>
      <c r="F25" s="305"/>
      <c r="G25" s="162"/>
      <c r="H25" s="357"/>
      <c r="I25" s="358"/>
      <c r="J25" s="358"/>
      <c r="K25" s="358"/>
    </row>
    <row r="26" spans="1:11" ht="46.5" x14ac:dyDescent="0.35">
      <c r="A26" s="8"/>
      <c r="B26" s="43" t="s">
        <v>140</v>
      </c>
      <c r="C26" s="163" t="s">
        <v>141</v>
      </c>
      <c r="D26" s="164" t="s">
        <v>141</v>
      </c>
      <c r="E26" s="164" t="s">
        <v>141</v>
      </c>
      <c r="F26" s="306" t="s">
        <v>141</v>
      </c>
      <c r="G26" s="47"/>
      <c r="H26" s="357"/>
      <c r="I26" s="358"/>
      <c r="J26" s="358"/>
      <c r="K26" s="358"/>
    </row>
    <row r="27" spans="1:11" x14ac:dyDescent="0.35">
      <c r="A27" s="135"/>
      <c r="B27" s="370" t="s">
        <v>142</v>
      </c>
      <c r="C27" s="371"/>
      <c r="D27" s="371"/>
      <c r="E27" s="371"/>
      <c r="F27" s="303">
        <f>0</f>
        <v>0</v>
      </c>
      <c r="G27" s="155"/>
      <c r="H27" s="357"/>
      <c r="I27" s="358"/>
      <c r="J27" s="358"/>
      <c r="K27" s="358"/>
    </row>
    <row r="28" spans="1:11" x14ac:dyDescent="0.35">
      <c r="A28" s="120" t="s">
        <v>143</v>
      </c>
      <c r="B28" s="392" t="s">
        <v>144</v>
      </c>
      <c r="C28" s="393"/>
      <c r="D28" s="394"/>
      <c r="E28" s="165">
        <v>5</v>
      </c>
      <c r="F28" s="307">
        <f>MIN(SUM(F53,F47,F39,F35),5)</f>
        <v>0</v>
      </c>
      <c r="G28" s="166"/>
      <c r="H28" s="357"/>
      <c r="I28" s="358"/>
      <c r="J28" s="358"/>
      <c r="K28" s="358"/>
    </row>
    <row r="29" spans="1:11" x14ac:dyDescent="0.35">
      <c r="A29" s="167" t="s">
        <v>145</v>
      </c>
      <c r="B29" s="372" t="s">
        <v>146</v>
      </c>
      <c r="C29" s="373"/>
      <c r="D29" s="168"/>
      <c r="E29" s="169"/>
      <c r="F29" s="308"/>
      <c r="G29" s="127"/>
      <c r="H29" s="357"/>
      <c r="I29" s="358"/>
      <c r="J29" s="358"/>
      <c r="K29" s="358"/>
    </row>
    <row r="30" spans="1:11" x14ac:dyDescent="0.35">
      <c r="A30" s="170" t="s">
        <v>147</v>
      </c>
      <c r="B30" s="171" t="s">
        <v>148</v>
      </c>
      <c r="C30" s="171"/>
      <c r="D30" s="172"/>
      <c r="E30" s="132"/>
      <c r="F30" s="309"/>
      <c r="G30" s="173"/>
      <c r="H30" s="357" t="s">
        <v>149</v>
      </c>
      <c r="I30" s="358"/>
      <c r="J30" s="358"/>
      <c r="K30" s="358"/>
    </row>
    <row r="31" spans="1:11" ht="31" x14ac:dyDescent="0.35">
      <c r="A31" s="382" t="s">
        <v>75</v>
      </c>
      <c r="B31" s="174" t="s">
        <v>150</v>
      </c>
      <c r="C31" s="175"/>
      <c r="D31" s="176"/>
      <c r="E31" s="176"/>
      <c r="F31" s="310"/>
      <c r="G31" s="47"/>
      <c r="I31" s="75"/>
      <c r="J31" s="270" t="s">
        <v>151</v>
      </c>
      <c r="K31" s="13"/>
    </row>
    <row r="32" spans="1:11" ht="27" customHeight="1" x14ac:dyDescent="0.35">
      <c r="A32" s="383"/>
      <c r="B32" s="176" t="s">
        <v>152</v>
      </c>
      <c r="C32" s="197"/>
      <c r="D32" s="143" t="s">
        <v>73</v>
      </c>
      <c r="E32" s="385" t="s">
        <v>153</v>
      </c>
      <c r="F32" s="367">
        <f>MIN(SUM(C32*0.5,C33*0.5),1)</f>
        <v>0</v>
      </c>
      <c r="G32" s="47"/>
      <c r="I32" s="271">
        <f>IF(C32&gt;0,C32*0.25,0)</f>
        <v>0</v>
      </c>
      <c r="J32" s="359">
        <f>IF(SUM(I32+I33)&gt;=0.5,"0.5",I32+I33)</f>
        <v>0</v>
      </c>
      <c r="K32" s="360" t="s">
        <v>154</v>
      </c>
    </row>
    <row r="33" spans="1:11" ht="25.5" customHeight="1" x14ac:dyDescent="0.35">
      <c r="A33" s="384"/>
      <c r="B33" s="176" t="s">
        <v>155</v>
      </c>
      <c r="C33" s="197"/>
      <c r="D33" s="143" t="s">
        <v>73</v>
      </c>
      <c r="E33" s="386"/>
      <c r="F33" s="368"/>
      <c r="G33" s="47"/>
      <c r="I33" s="271">
        <f>IF(C33&gt;0,C33*0.5,0)</f>
        <v>0</v>
      </c>
      <c r="J33" s="359"/>
      <c r="K33" s="361"/>
    </row>
    <row r="34" spans="1:11" ht="31" x14ac:dyDescent="0.35">
      <c r="A34" s="253" t="s">
        <v>77</v>
      </c>
      <c r="B34" s="176" t="s">
        <v>156</v>
      </c>
      <c r="C34" s="197"/>
      <c r="D34" s="143" t="s">
        <v>73</v>
      </c>
      <c r="E34" s="177" t="s">
        <v>157</v>
      </c>
      <c r="F34" s="296">
        <f>IF(I34&gt;=0.5,0.5,I34)</f>
        <v>0</v>
      </c>
      <c r="G34" s="199"/>
      <c r="I34" s="271">
        <f>IF(C34&gt;0,C34*0.25,0)</f>
        <v>0</v>
      </c>
      <c r="J34" s="272">
        <f>IF(I34&gt;=0.5,"0.5",I34)</f>
        <v>0</v>
      </c>
      <c r="K34" s="273" t="s">
        <v>154</v>
      </c>
    </row>
    <row r="35" spans="1:11" x14ac:dyDescent="0.35">
      <c r="A35" s="178"/>
      <c r="B35" s="370" t="s">
        <v>158</v>
      </c>
      <c r="C35" s="371"/>
      <c r="D35" s="371"/>
      <c r="E35" s="371"/>
      <c r="F35" s="311">
        <f>MIN(F32+F34,1)</f>
        <v>0</v>
      </c>
      <c r="G35" s="134"/>
      <c r="H35" s="357"/>
      <c r="I35" s="358"/>
      <c r="J35" s="358"/>
      <c r="K35" s="358"/>
    </row>
    <row r="36" spans="1:11" x14ac:dyDescent="0.35">
      <c r="A36" s="170" t="s">
        <v>159</v>
      </c>
      <c r="B36" s="171" t="s">
        <v>160</v>
      </c>
      <c r="C36" s="171"/>
      <c r="D36" s="171"/>
      <c r="E36" s="132"/>
      <c r="F36" s="312"/>
      <c r="G36" s="133"/>
      <c r="H36" s="357"/>
      <c r="I36" s="358"/>
      <c r="J36" s="358"/>
      <c r="K36" s="358"/>
    </row>
    <row r="37" spans="1:11" ht="31" x14ac:dyDescent="0.35">
      <c r="A37" s="239" t="s">
        <v>75</v>
      </c>
      <c r="B37" s="180" t="s">
        <v>161</v>
      </c>
      <c r="C37" s="4"/>
      <c r="D37" s="32" t="s">
        <v>70</v>
      </c>
      <c r="E37" s="240" t="s">
        <v>113</v>
      </c>
      <c r="F37" s="296">
        <f>IF(C37="Y",1,0)</f>
        <v>0</v>
      </c>
      <c r="G37" s="49"/>
      <c r="H37" s="357"/>
      <c r="I37" s="358"/>
      <c r="J37" s="358"/>
      <c r="K37" s="358"/>
    </row>
    <row r="38" spans="1:11" ht="46.5" x14ac:dyDescent="0.35">
      <c r="A38" s="253" t="s">
        <v>77</v>
      </c>
      <c r="B38" s="45" t="s">
        <v>162</v>
      </c>
      <c r="C38" s="4"/>
      <c r="D38" s="32" t="s">
        <v>70</v>
      </c>
      <c r="E38" s="240" t="s">
        <v>113</v>
      </c>
      <c r="F38" s="296">
        <f>IF(C38="Y",1,0)</f>
        <v>0</v>
      </c>
      <c r="G38" s="198"/>
      <c r="H38" s="357"/>
      <c r="I38" s="358"/>
      <c r="J38" s="358"/>
      <c r="K38" s="358"/>
    </row>
    <row r="39" spans="1:11" x14ac:dyDescent="0.35">
      <c r="A39" s="178"/>
      <c r="B39" s="370" t="s">
        <v>163</v>
      </c>
      <c r="C39" s="371"/>
      <c r="D39" s="371"/>
      <c r="E39" s="371"/>
      <c r="F39" s="297">
        <f>MIN(F37+F38,2)</f>
        <v>0</v>
      </c>
      <c r="G39" s="181"/>
      <c r="H39" s="357"/>
      <c r="I39" s="358"/>
      <c r="J39" s="358"/>
      <c r="K39" s="358"/>
    </row>
    <row r="40" spans="1:11" x14ac:dyDescent="0.35">
      <c r="A40" s="167" t="s">
        <v>164</v>
      </c>
      <c r="B40" s="182" t="s">
        <v>165</v>
      </c>
      <c r="C40" s="183"/>
      <c r="D40" s="168"/>
      <c r="E40" s="169"/>
      <c r="F40" s="308"/>
      <c r="G40" s="127"/>
      <c r="H40" s="357"/>
      <c r="I40" s="358"/>
      <c r="J40" s="358"/>
      <c r="K40" s="358"/>
    </row>
    <row r="41" spans="1:11" ht="31" x14ac:dyDescent="0.35">
      <c r="A41" s="170"/>
      <c r="B41" s="171" t="s">
        <v>166</v>
      </c>
      <c r="C41" s="171"/>
      <c r="D41" s="171"/>
      <c r="E41" s="184"/>
      <c r="F41" s="309"/>
      <c r="G41" s="173"/>
      <c r="H41" s="357"/>
      <c r="I41" s="358"/>
      <c r="J41" s="358"/>
      <c r="K41" s="358"/>
    </row>
    <row r="42" spans="1:11" x14ac:dyDescent="0.35">
      <c r="A42" s="382" t="s">
        <v>75</v>
      </c>
      <c r="B42" s="174" t="s">
        <v>167</v>
      </c>
      <c r="C42" s="175"/>
      <c r="D42" s="176"/>
      <c r="E42" s="164"/>
      <c r="F42" s="306"/>
      <c r="G42" s="47"/>
      <c r="H42" s="357"/>
      <c r="I42" s="358"/>
      <c r="J42" s="358"/>
      <c r="K42" s="358"/>
    </row>
    <row r="43" spans="1:11" x14ac:dyDescent="0.35">
      <c r="A43" s="383"/>
      <c r="B43" s="176" t="s">
        <v>168</v>
      </c>
      <c r="C43" s="4"/>
      <c r="D43" s="32" t="s">
        <v>70</v>
      </c>
      <c r="E43" s="240" t="s">
        <v>169</v>
      </c>
      <c r="F43" s="296">
        <f>IF(C43="Y",0.5,0)</f>
        <v>0</v>
      </c>
      <c r="G43" s="198"/>
      <c r="H43" s="357"/>
      <c r="I43" s="358"/>
      <c r="J43" s="358"/>
      <c r="K43" s="358"/>
    </row>
    <row r="44" spans="1:11" x14ac:dyDescent="0.35">
      <c r="A44" s="383"/>
      <c r="B44" s="176" t="s">
        <v>170</v>
      </c>
      <c r="C44" s="4"/>
      <c r="D44" s="32" t="s">
        <v>70</v>
      </c>
      <c r="E44" s="240" t="s">
        <v>169</v>
      </c>
      <c r="F44" s="296">
        <f>IF(C44="Y",0.5,0)</f>
        <v>0</v>
      </c>
      <c r="G44" s="198"/>
      <c r="H44" s="357"/>
      <c r="I44" s="358"/>
      <c r="J44" s="358"/>
      <c r="K44" s="358"/>
    </row>
    <row r="45" spans="1:11" ht="33.75" customHeight="1" x14ac:dyDescent="0.35">
      <c r="A45" s="243" t="s">
        <v>77</v>
      </c>
      <c r="B45" s="185" t="s">
        <v>171</v>
      </c>
      <c r="C45" s="4"/>
      <c r="D45" s="32" t="s">
        <v>70</v>
      </c>
      <c r="E45" s="240" t="s">
        <v>113</v>
      </c>
      <c r="F45" s="296">
        <f>IF(C45="Y",1,0)</f>
        <v>0</v>
      </c>
      <c r="G45" s="200"/>
      <c r="H45" s="357"/>
      <c r="I45" s="358"/>
      <c r="J45" s="358"/>
      <c r="K45" s="358"/>
    </row>
    <row r="46" spans="1:11" ht="62" x14ac:dyDescent="0.35">
      <c r="A46" s="243" t="s">
        <v>80</v>
      </c>
      <c r="B46" s="185" t="s">
        <v>172</v>
      </c>
      <c r="C46" s="5"/>
      <c r="D46" s="186" t="s">
        <v>70</v>
      </c>
      <c r="E46" s="241" t="s">
        <v>113</v>
      </c>
      <c r="F46" s="296">
        <f>IF(C46="Y",1,0)</f>
        <v>0</v>
      </c>
      <c r="G46" s="198"/>
      <c r="H46" s="357"/>
      <c r="I46" s="358"/>
      <c r="J46" s="358"/>
      <c r="K46" s="358"/>
    </row>
    <row r="47" spans="1:11" x14ac:dyDescent="0.35">
      <c r="A47" s="178"/>
      <c r="B47" s="378" t="s">
        <v>173</v>
      </c>
      <c r="C47" s="378"/>
      <c r="D47" s="378"/>
      <c r="E47" s="378"/>
      <c r="F47" s="311">
        <f>MIN(F43+F44+F45+F46)</f>
        <v>0</v>
      </c>
      <c r="G47" s="135"/>
      <c r="H47" s="357"/>
      <c r="I47" s="358"/>
      <c r="J47" s="358"/>
      <c r="K47" s="358"/>
    </row>
    <row r="48" spans="1:11" x14ac:dyDescent="0.35">
      <c r="A48" s="167" t="s">
        <v>174</v>
      </c>
      <c r="B48" s="182" t="s">
        <v>175</v>
      </c>
      <c r="C48" s="183"/>
      <c r="D48" s="168"/>
      <c r="E48" s="169"/>
      <c r="F48" s="308"/>
      <c r="G48" s="127"/>
      <c r="H48" s="357"/>
      <c r="I48" s="358"/>
      <c r="J48" s="358"/>
      <c r="K48" s="358"/>
    </row>
    <row r="49" spans="1:11" ht="31" x14ac:dyDescent="0.35">
      <c r="A49" s="187"/>
      <c r="B49" s="188" t="s">
        <v>176</v>
      </c>
      <c r="C49" s="172"/>
      <c r="D49" s="172"/>
      <c r="E49" s="189"/>
      <c r="F49" s="309"/>
      <c r="G49" s="173"/>
      <c r="H49" s="357"/>
      <c r="I49" s="358"/>
      <c r="J49" s="358"/>
      <c r="K49" s="358"/>
    </row>
    <row r="50" spans="1:11" ht="31" x14ac:dyDescent="0.35">
      <c r="A50" s="253" t="s">
        <v>75</v>
      </c>
      <c r="B50" s="44" t="s">
        <v>177</v>
      </c>
      <c r="C50" s="4"/>
      <c r="D50" s="32" t="s">
        <v>70</v>
      </c>
      <c r="E50" s="240" t="s">
        <v>130</v>
      </c>
      <c r="F50" s="296">
        <f>IF(C50="Y",2,0)</f>
        <v>0</v>
      </c>
      <c r="G50" s="47"/>
      <c r="H50" s="357"/>
      <c r="I50" s="358"/>
      <c r="J50" s="358"/>
      <c r="K50" s="358"/>
    </row>
    <row r="51" spans="1:11" ht="46.5" x14ac:dyDescent="0.35">
      <c r="A51" s="253" t="s">
        <v>77</v>
      </c>
      <c r="B51" s="44" t="s">
        <v>178</v>
      </c>
      <c r="C51" s="163" t="s">
        <v>141</v>
      </c>
      <c r="D51" s="164" t="s">
        <v>141</v>
      </c>
      <c r="E51" s="164" t="s">
        <v>141</v>
      </c>
      <c r="F51" s="306" t="s">
        <v>141</v>
      </c>
      <c r="G51" s="47"/>
      <c r="H51" s="357"/>
      <c r="I51" s="358"/>
      <c r="J51" s="358"/>
      <c r="K51" s="358"/>
    </row>
    <row r="52" spans="1:11" ht="31" x14ac:dyDescent="0.35">
      <c r="A52" s="253" t="s">
        <v>80</v>
      </c>
      <c r="B52" s="45" t="s">
        <v>179</v>
      </c>
      <c r="C52" s="4"/>
      <c r="D52" s="32" t="s">
        <v>70</v>
      </c>
      <c r="E52" s="240" t="s">
        <v>113</v>
      </c>
      <c r="F52" s="296">
        <f>IF((C52="Y")*AND(C50="Y"),1,0)</f>
        <v>0</v>
      </c>
      <c r="G52" s="47"/>
      <c r="H52" s="357"/>
      <c r="I52" s="358"/>
      <c r="J52" s="358"/>
      <c r="K52" s="358"/>
    </row>
    <row r="53" spans="1:11" x14ac:dyDescent="0.35">
      <c r="A53" s="178"/>
      <c r="B53" s="370" t="s">
        <v>180</v>
      </c>
      <c r="C53" s="371"/>
      <c r="D53" s="371"/>
      <c r="E53" s="371"/>
      <c r="F53" s="311">
        <f>MIN((F50+F52),3)</f>
        <v>0</v>
      </c>
      <c r="G53" s="135"/>
      <c r="H53" s="357"/>
      <c r="I53" s="358"/>
      <c r="J53" s="358"/>
      <c r="K53" s="358"/>
    </row>
    <row r="54" spans="1:11" x14ac:dyDescent="0.35">
      <c r="A54" s="120" t="s">
        <v>181</v>
      </c>
      <c r="B54" s="369" t="s">
        <v>182</v>
      </c>
      <c r="C54" s="369"/>
      <c r="D54" s="369"/>
      <c r="E54" s="120">
        <v>5</v>
      </c>
      <c r="F54" s="293">
        <f>MIN(SUM(F65,F60),5)</f>
        <v>0</v>
      </c>
      <c r="G54" s="120"/>
      <c r="H54" s="357"/>
      <c r="I54" s="358"/>
      <c r="J54" s="358"/>
      <c r="K54" s="358"/>
    </row>
    <row r="55" spans="1:11" x14ac:dyDescent="0.35">
      <c r="A55" s="167" t="s">
        <v>183</v>
      </c>
      <c r="B55" s="182" t="s">
        <v>184</v>
      </c>
      <c r="C55" s="183"/>
      <c r="D55" s="168"/>
      <c r="E55" s="169"/>
      <c r="F55" s="313"/>
      <c r="G55" s="127"/>
      <c r="H55" s="357"/>
      <c r="I55" s="358"/>
      <c r="J55" s="358"/>
      <c r="K55" s="358"/>
    </row>
    <row r="56" spans="1:11" ht="31" x14ac:dyDescent="0.35">
      <c r="A56" s="190"/>
      <c r="B56" s="188" t="s">
        <v>185</v>
      </c>
      <c r="C56" s="191"/>
      <c r="D56" s="191"/>
      <c r="E56" s="189"/>
      <c r="F56" s="314"/>
      <c r="G56" s="133"/>
      <c r="H56" s="357"/>
      <c r="I56" s="358"/>
      <c r="J56" s="358"/>
      <c r="K56" s="358"/>
    </row>
    <row r="57" spans="1:11" x14ac:dyDescent="0.35">
      <c r="A57" s="253" t="s">
        <v>75</v>
      </c>
      <c r="B57" s="45" t="s">
        <v>186</v>
      </c>
      <c r="C57" s="4"/>
      <c r="D57" s="143" t="s">
        <v>73</v>
      </c>
      <c r="E57" s="240" t="s">
        <v>113</v>
      </c>
      <c r="F57" s="296">
        <f>IF(C57&gt;3,1,0)</f>
        <v>0</v>
      </c>
      <c r="G57" s="47"/>
      <c r="H57" s="357"/>
      <c r="I57" s="358"/>
      <c r="J57" s="358"/>
      <c r="K57" s="358"/>
    </row>
    <row r="58" spans="1:11" ht="31" x14ac:dyDescent="0.35">
      <c r="A58" s="253" t="s">
        <v>77</v>
      </c>
      <c r="B58" s="45" t="s">
        <v>187</v>
      </c>
      <c r="C58" s="4"/>
      <c r="D58" s="32" t="s">
        <v>70</v>
      </c>
      <c r="E58" s="240" t="s">
        <v>113</v>
      </c>
      <c r="F58" s="296">
        <f>IF(C58="Y",1,0)</f>
        <v>0</v>
      </c>
      <c r="G58" s="47"/>
      <c r="H58" s="357"/>
      <c r="I58" s="358"/>
      <c r="J58" s="358"/>
      <c r="K58" s="358"/>
    </row>
    <row r="59" spans="1:11" ht="46.5" x14ac:dyDescent="0.35">
      <c r="A59" s="253" t="s">
        <v>80</v>
      </c>
      <c r="B59" s="45" t="s">
        <v>188</v>
      </c>
      <c r="C59" s="4"/>
      <c r="D59" s="32" t="s">
        <v>70</v>
      </c>
      <c r="E59" s="240" t="s">
        <v>113</v>
      </c>
      <c r="F59" s="296">
        <f>IF(C59="Y",1,0)</f>
        <v>0</v>
      </c>
      <c r="G59" s="47"/>
      <c r="H59" s="357"/>
      <c r="I59" s="358"/>
      <c r="J59" s="358"/>
      <c r="K59" s="358"/>
    </row>
    <row r="60" spans="1:11" x14ac:dyDescent="0.35">
      <c r="A60" s="178"/>
      <c r="B60" s="370" t="s">
        <v>189</v>
      </c>
      <c r="C60" s="371"/>
      <c r="D60" s="371"/>
      <c r="E60" s="371"/>
      <c r="F60" s="311">
        <f>MIN(F57+F58+F59,3)</f>
        <v>0</v>
      </c>
      <c r="G60" s="155"/>
      <c r="H60" s="357"/>
      <c r="I60" s="358"/>
      <c r="J60" s="358"/>
      <c r="K60" s="358"/>
    </row>
    <row r="61" spans="1:11" x14ac:dyDescent="0.35">
      <c r="A61" s="167" t="s">
        <v>190</v>
      </c>
      <c r="B61" s="372" t="s">
        <v>191</v>
      </c>
      <c r="C61" s="373"/>
      <c r="D61" s="168"/>
      <c r="E61" s="169"/>
      <c r="F61" s="313"/>
      <c r="G61" s="127"/>
      <c r="H61" s="357"/>
      <c r="I61" s="358"/>
      <c r="J61" s="358"/>
      <c r="K61" s="358"/>
    </row>
    <row r="62" spans="1:11" ht="46.5" x14ac:dyDescent="0.35">
      <c r="A62" s="192"/>
      <c r="B62" s="171" t="s">
        <v>192</v>
      </c>
      <c r="C62" s="193"/>
      <c r="D62" s="193"/>
      <c r="E62" s="179"/>
      <c r="F62" s="314"/>
      <c r="G62" s="133"/>
      <c r="H62" s="357"/>
      <c r="I62" s="358"/>
      <c r="J62" s="358"/>
      <c r="K62" s="358"/>
    </row>
    <row r="63" spans="1:11" ht="62" x14ac:dyDescent="0.35">
      <c r="A63" s="253" t="s">
        <v>75</v>
      </c>
      <c r="B63" s="176" t="s">
        <v>193</v>
      </c>
      <c r="C63" s="4"/>
      <c r="D63" s="32" t="s">
        <v>70</v>
      </c>
      <c r="E63" s="240" t="s">
        <v>130</v>
      </c>
      <c r="F63" s="296">
        <f>IF(C63="Y",2,0)</f>
        <v>0</v>
      </c>
      <c r="G63" s="47"/>
      <c r="H63" s="357"/>
      <c r="I63" s="358"/>
      <c r="J63" s="358"/>
      <c r="K63" s="358"/>
    </row>
    <row r="64" spans="1:11" ht="62" x14ac:dyDescent="0.35">
      <c r="A64" s="253" t="s">
        <v>77</v>
      </c>
      <c r="B64" s="176" t="s">
        <v>194</v>
      </c>
      <c r="C64" s="4"/>
      <c r="D64" s="32" t="s">
        <v>70</v>
      </c>
      <c r="E64" s="240" t="s">
        <v>130</v>
      </c>
      <c r="F64" s="296">
        <f>IF(C64="Y",2,0)</f>
        <v>0</v>
      </c>
      <c r="G64" s="47"/>
      <c r="H64" s="357"/>
      <c r="I64" s="358"/>
      <c r="J64" s="358"/>
      <c r="K64" s="358"/>
    </row>
    <row r="65" spans="1:11" x14ac:dyDescent="0.35">
      <c r="A65" s="178"/>
      <c r="B65" s="370" t="s">
        <v>195</v>
      </c>
      <c r="C65" s="371"/>
      <c r="D65" s="371"/>
      <c r="E65" s="371"/>
      <c r="F65" s="311">
        <f>MIN(F63+F64,4)</f>
        <v>0</v>
      </c>
      <c r="G65" s="135"/>
      <c r="H65" s="357"/>
      <c r="I65" s="358"/>
      <c r="J65" s="358"/>
      <c r="K65" s="358"/>
    </row>
    <row r="66" spans="1:11" x14ac:dyDescent="0.35">
      <c r="A66" s="120"/>
      <c r="B66" s="369" t="s">
        <v>196</v>
      </c>
      <c r="C66" s="369"/>
      <c r="D66" s="369"/>
      <c r="E66" s="121">
        <v>2</v>
      </c>
      <c r="F66" s="293">
        <f>MIN(F68+F69,2)</f>
        <v>0</v>
      </c>
      <c r="G66" s="120"/>
      <c r="H66" s="357"/>
      <c r="I66" s="358"/>
      <c r="J66" s="358"/>
      <c r="K66" s="358"/>
    </row>
    <row r="67" spans="1:11" ht="93" x14ac:dyDescent="0.35">
      <c r="A67" s="170"/>
      <c r="B67" s="194" t="s">
        <v>197</v>
      </c>
      <c r="C67" s="179"/>
      <c r="D67" s="179"/>
      <c r="E67" s="179" t="s">
        <v>198</v>
      </c>
      <c r="F67" s="315"/>
      <c r="G67" s="156" t="s">
        <v>199</v>
      </c>
      <c r="H67" s="357"/>
      <c r="I67" s="358"/>
      <c r="J67" s="358"/>
      <c r="K67" s="358"/>
    </row>
    <row r="68" spans="1:11" ht="136.5" customHeight="1" x14ac:dyDescent="0.35">
      <c r="A68" s="362"/>
      <c r="B68" s="364" t="s">
        <v>535</v>
      </c>
      <c r="C68" s="201"/>
      <c r="D68" s="74" t="s">
        <v>73</v>
      </c>
      <c r="E68" s="366" t="s">
        <v>200</v>
      </c>
      <c r="F68" s="296">
        <f>C68</f>
        <v>0</v>
      </c>
      <c r="G68" s="81" t="s">
        <v>201</v>
      </c>
      <c r="H68" s="357"/>
      <c r="I68" s="358"/>
      <c r="J68" s="358"/>
      <c r="K68" s="358"/>
    </row>
    <row r="69" spans="1:11" ht="176.5" customHeight="1" x14ac:dyDescent="0.35">
      <c r="A69" s="363"/>
      <c r="B69" s="365"/>
      <c r="C69" s="201"/>
      <c r="D69" s="74" t="s">
        <v>73</v>
      </c>
      <c r="E69" s="366"/>
      <c r="F69" s="296">
        <f>C69</f>
        <v>0</v>
      </c>
      <c r="G69" s="81" t="s">
        <v>202</v>
      </c>
      <c r="H69" s="357"/>
      <c r="I69" s="358"/>
      <c r="J69" s="358"/>
      <c r="K69" s="358"/>
    </row>
  </sheetData>
  <sheetProtection algorithmName="SHA-512" hashValue="EaetKu7RvumB4WLMHdDCp0R5rro3KoVAqKTMK4AOfoSekG9HQiywBg8sucJCv4H4+ICcZL0AH+hNCRGKhjpE5w==" saltValue="k1TFOY3Pvawcpcnpgfz+sg==" spinCount="100000" sheet="1" formatCells="0" selectLockedCells="1"/>
  <mergeCells count="96">
    <mergeCell ref="H17:K17"/>
    <mergeCell ref="H18:K18"/>
    <mergeCell ref="A2:D2"/>
    <mergeCell ref="B39:E39"/>
    <mergeCell ref="A42:A44"/>
    <mergeCell ref="B27:E27"/>
    <mergeCell ref="B29:C29"/>
    <mergeCell ref="A31:A33"/>
    <mergeCell ref="E32:E33"/>
    <mergeCell ref="B35:E35"/>
    <mergeCell ref="A10:A13"/>
    <mergeCell ref="A14:A15"/>
    <mergeCell ref="B14:B15"/>
    <mergeCell ref="B28:D28"/>
    <mergeCell ref="B16:E16"/>
    <mergeCell ref="B20:E20"/>
    <mergeCell ref="H12:K12"/>
    <mergeCell ref="H13:K13"/>
    <mergeCell ref="H14:K14"/>
    <mergeCell ref="H15:K15"/>
    <mergeCell ref="H16:K16"/>
    <mergeCell ref="A68:A69"/>
    <mergeCell ref="B68:B69"/>
    <mergeCell ref="E68:E69"/>
    <mergeCell ref="F32:F33"/>
    <mergeCell ref="B3:D3"/>
    <mergeCell ref="B23:E23"/>
    <mergeCell ref="B66:D66"/>
    <mergeCell ref="B65:E65"/>
    <mergeCell ref="B8:E8"/>
    <mergeCell ref="B60:E60"/>
    <mergeCell ref="B61:C61"/>
    <mergeCell ref="E14:E15"/>
    <mergeCell ref="F14:F15"/>
    <mergeCell ref="B54:D54"/>
    <mergeCell ref="B47:E47"/>
    <mergeCell ref="B53:E53"/>
    <mergeCell ref="H2:K2"/>
    <mergeCell ref="H3:K3"/>
    <mergeCell ref="H4:K4"/>
    <mergeCell ref="H5:K5"/>
    <mergeCell ref="H6:K6"/>
    <mergeCell ref="H7:K7"/>
    <mergeCell ref="H8:K8"/>
    <mergeCell ref="H9:K9"/>
    <mergeCell ref="H10:K10"/>
    <mergeCell ref="H11:K11"/>
    <mergeCell ref="H19:K19"/>
    <mergeCell ref="H20:K20"/>
    <mergeCell ref="H21:K21"/>
    <mergeCell ref="H22:K22"/>
    <mergeCell ref="H23:K23"/>
    <mergeCell ref="H24:K24"/>
    <mergeCell ref="H25:K25"/>
    <mergeCell ref="H26:K26"/>
    <mergeCell ref="H27:K27"/>
    <mergeCell ref="H28:K28"/>
    <mergeCell ref="H29:K29"/>
    <mergeCell ref="H30:K30"/>
    <mergeCell ref="H35:K35"/>
    <mergeCell ref="H36:K36"/>
    <mergeCell ref="H37:K37"/>
    <mergeCell ref="J32:J33"/>
    <mergeCell ref="K32:K33"/>
    <mergeCell ref="H38:K38"/>
    <mergeCell ref="H39:K39"/>
    <mergeCell ref="H40:K40"/>
    <mergeCell ref="H41:K41"/>
    <mergeCell ref="H42:K42"/>
    <mergeCell ref="H43:K43"/>
    <mergeCell ref="H44:K44"/>
    <mergeCell ref="H45:K45"/>
    <mergeCell ref="H46:K46"/>
    <mergeCell ref="H47:K47"/>
    <mergeCell ref="H48:K48"/>
    <mergeCell ref="H49:K49"/>
    <mergeCell ref="H50:K50"/>
    <mergeCell ref="H51:K51"/>
    <mergeCell ref="H52:K52"/>
    <mergeCell ref="H53:K53"/>
    <mergeCell ref="H54:K54"/>
    <mergeCell ref="H55:K55"/>
    <mergeCell ref="H56:K56"/>
    <mergeCell ref="H57:K57"/>
    <mergeCell ref="H58:K58"/>
    <mergeCell ref="H59:K59"/>
    <mergeCell ref="H60:K60"/>
    <mergeCell ref="H61:K61"/>
    <mergeCell ref="H62:K62"/>
    <mergeCell ref="H68:K68"/>
    <mergeCell ref="H69:K69"/>
    <mergeCell ref="H63:K63"/>
    <mergeCell ref="H64:K64"/>
    <mergeCell ref="H65:K65"/>
    <mergeCell ref="H66:K66"/>
    <mergeCell ref="H67:K67"/>
  </mergeCells>
  <dataValidations count="9">
    <dataValidation allowBlank="1" showErrorMessage="1" sqref="F69" xr:uid="{00000000-0002-0000-0300-000000000000}"/>
    <dataValidation type="list" showErrorMessage="1" error="Please enter 0.5 or 1 or 1.5 or 2." prompt="Please Enter 0.5 or 1 or 1.5 or 2." sqref="C68" xr:uid="{00000000-0002-0000-0300-000001000000}">
      <formula1>"0, 0.5, 1.0, 1.5, 2.0"</formula1>
    </dataValidation>
    <dataValidation type="list" showErrorMessage="1" error="Please enter 0.5 or 1 or 1.5 or 2." prompt="Please Enter 0 or 1 or 1.5 or 2." sqref="C69" xr:uid="{00000000-0002-0000-0300-000002000000}">
      <formula1>"0, 0.5, 1.0, 1.5, 2.0"</formula1>
    </dataValidation>
    <dataValidation allowBlank="1" showInputMessage="1" showErrorMessage="1" prompt="Please list down short description of your innovation." sqref="G68:G69" xr:uid="{00000000-0002-0000-0300-000003000000}"/>
    <dataValidation type="decimal" allowBlank="1" showErrorMessage="1" error="Please enter 0.5 or 1 or 1.5 or 2." prompt="Please Enter 0 or 1 or 1.5 or 2." sqref="F68" xr:uid="{00000000-0002-0000-0300-000004000000}">
      <formula1>0</formula1>
      <formula2>2</formula2>
    </dataValidation>
    <dataValidation type="list" allowBlank="1" showInputMessage="1" showErrorMessage="1" sqref="C11:C14 C19 C43:C46 C37:C38 C63:C64 C58:C59 C6:C7 C50 C52" xr:uid="{00000000-0002-0000-0300-000005000000}">
      <formula1>"Y,N"</formula1>
    </dataValidation>
    <dataValidation type="decimal" allowBlank="1" showInputMessage="1" showErrorMessage="1" sqref="C22 C15" xr:uid="{00000000-0002-0000-0300-000006000000}">
      <formula1>0</formula1>
      <formula2>100</formula2>
    </dataValidation>
    <dataValidation type="whole" allowBlank="1" showInputMessage="1" showErrorMessage="1" sqref="C32:C34" xr:uid="{00000000-0002-0000-0300-000007000000}">
      <formula1>0</formula1>
      <formula2>1000</formula2>
    </dataValidation>
    <dataValidation type="decimal" allowBlank="1" showInputMessage="1" showErrorMessage="1" sqref="C57" xr:uid="{00000000-0002-0000-0300-000008000000}">
      <formula1>0</formula1>
      <formula2>1000</formula2>
    </dataValidation>
  </dataValidations>
  <pageMargins left="0.7" right="0.7" top="0.75" bottom="0.75" header="0.3" footer="0.3"/>
  <pageSetup paperSize="9" orientation="portrait" r:id="rId1"/>
  <rowBreaks count="1" manualBreakCount="1">
    <brk id="5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83"/>
  <sheetViews>
    <sheetView showGridLines="0" zoomScaleNormal="100" workbookViewId="0">
      <selection activeCell="E18" sqref="E18"/>
    </sheetView>
  </sheetViews>
  <sheetFormatPr defaultColWidth="8.7265625" defaultRowHeight="14.5" x14ac:dyDescent="0.35"/>
  <cols>
    <col min="1" max="1" width="8.26953125" style="235" customWidth="1"/>
    <col min="2" max="2" width="22.26953125" style="235" customWidth="1"/>
    <col min="3" max="3" width="34" style="235" customWidth="1"/>
    <col min="4" max="4" width="21.1796875" style="235" customWidth="1"/>
    <col min="5" max="5" width="10.7265625" style="262" customWidth="1"/>
    <col min="6" max="6" width="16.1796875" style="259" customWidth="1"/>
    <col min="7" max="7" width="18.1796875" style="235" customWidth="1"/>
    <col min="8" max="8" width="10.7265625" style="235" customWidth="1"/>
    <col min="9" max="9" width="30.7265625" style="235" customWidth="1"/>
    <col min="10" max="11" width="50.7265625" style="235" customWidth="1"/>
    <col min="12" max="12" width="15.54296875" style="235" customWidth="1"/>
    <col min="13" max="13" width="17.26953125" style="235" customWidth="1"/>
    <col min="14" max="16384" width="8.7265625" style="235"/>
  </cols>
  <sheetData>
    <row r="1" spans="1:9" ht="46.5" x14ac:dyDescent="0.35">
      <c r="A1" s="2"/>
      <c r="B1" s="458" t="s">
        <v>203</v>
      </c>
      <c r="C1" s="459"/>
      <c r="D1" s="460"/>
      <c r="E1" s="19" t="s">
        <v>65</v>
      </c>
      <c r="F1" s="19" t="s">
        <v>66</v>
      </c>
      <c r="G1" s="20" t="s">
        <v>103</v>
      </c>
      <c r="H1" s="19" t="s">
        <v>104</v>
      </c>
      <c r="I1" s="3" t="s">
        <v>67</v>
      </c>
    </row>
    <row r="2" spans="1:9" ht="21" x14ac:dyDescent="0.35">
      <c r="A2" s="468" t="s">
        <v>31</v>
      </c>
      <c r="B2" s="469"/>
      <c r="C2" s="469"/>
      <c r="D2" s="469"/>
      <c r="E2" s="469"/>
      <c r="F2" s="470"/>
      <c r="G2" s="82">
        <v>15</v>
      </c>
      <c r="H2" s="316">
        <f>MIN(SUM(H3,H30,H69,H80),15)</f>
        <v>0</v>
      </c>
      <c r="I2" s="83" t="s">
        <v>105</v>
      </c>
    </row>
    <row r="3" spans="1:9" ht="15.5" x14ac:dyDescent="0.35">
      <c r="A3" s="84" t="s">
        <v>204</v>
      </c>
      <c r="B3" s="461" t="s">
        <v>205</v>
      </c>
      <c r="C3" s="462"/>
      <c r="D3" s="462"/>
      <c r="E3" s="462"/>
      <c r="F3" s="462"/>
      <c r="G3" s="85">
        <v>5</v>
      </c>
      <c r="H3" s="317">
        <f>MIN(SUM(H16,H25,H29),5)</f>
        <v>0</v>
      </c>
      <c r="I3" s="86"/>
    </row>
    <row r="4" spans="1:9" ht="15.5" x14ac:dyDescent="0.35">
      <c r="A4" s="87" t="s">
        <v>206</v>
      </c>
      <c r="B4" s="415" t="s">
        <v>207</v>
      </c>
      <c r="C4" s="415"/>
      <c r="D4" s="416"/>
      <c r="E4" s="88"/>
      <c r="F4" s="87"/>
      <c r="G4" s="87"/>
      <c r="H4" s="318"/>
      <c r="I4" s="87"/>
    </row>
    <row r="5" spans="1:9" ht="15.5" x14ac:dyDescent="0.35">
      <c r="A5" s="247"/>
      <c r="B5" s="417" t="s">
        <v>510</v>
      </c>
      <c r="C5" s="417"/>
      <c r="D5" s="417"/>
      <c r="E5" s="251"/>
      <c r="F5" s="245"/>
      <c r="G5" s="247"/>
      <c r="H5" s="319"/>
      <c r="I5" s="80"/>
    </row>
    <row r="6" spans="1:9" ht="16" thickBot="1" x14ac:dyDescent="0.4">
      <c r="A6" s="339" t="s">
        <v>521</v>
      </c>
      <c r="B6" s="418" t="s">
        <v>208</v>
      </c>
      <c r="C6" s="419"/>
      <c r="D6" s="420"/>
      <c r="E6" s="90"/>
      <c r="F6" s="89"/>
      <c r="G6" s="89"/>
      <c r="H6" s="320"/>
      <c r="I6" s="89"/>
    </row>
    <row r="7" spans="1:9" ht="15.5" x14ac:dyDescent="0.35">
      <c r="A7" s="399"/>
      <c r="B7" s="430" t="s">
        <v>209</v>
      </c>
      <c r="C7" s="431"/>
      <c r="D7" s="445"/>
      <c r="E7" s="397"/>
      <c r="F7" s="399"/>
      <c r="G7" s="399"/>
      <c r="H7" s="368"/>
      <c r="I7" s="396"/>
    </row>
    <row r="8" spans="1:9" ht="15.5" x14ac:dyDescent="0.35">
      <c r="A8" s="399"/>
      <c r="B8" s="456" t="s">
        <v>210</v>
      </c>
      <c r="C8" s="91" t="s">
        <v>211</v>
      </c>
      <c r="D8" s="446"/>
      <c r="E8" s="397"/>
      <c r="F8" s="399"/>
      <c r="G8" s="399"/>
      <c r="H8" s="368"/>
      <c r="I8" s="396"/>
    </row>
    <row r="9" spans="1:9" ht="15.5" x14ac:dyDescent="0.35">
      <c r="A9" s="399"/>
      <c r="B9" s="456"/>
      <c r="C9" s="91" t="s">
        <v>212</v>
      </c>
      <c r="D9" s="446"/>
      <c r="E9" s="397"/>
      <c r="F9" s="399"/>
      <c r="G9" s="399"/>
      <c r="H9" s="368"/>
      <c r="I9" s="396"/>
    </row>
    <row r="10" spans="1:9" ht="15.5" x14ac:dyDescent="0.35">
      <c r="A10" s="399"/>
      <c r="B10" s="456" t="s">
        <v>213</v>
      </c>
      <c r="C10" s="91" t="s">
        <v>214</v>
      </c>
      <c r="D10" s="446"/>
      <c r="E10" s="397"/>
      <c r="F10" s="399"/>
      <c r="G10" s="399"/>
      <c r="H10" s="368"/>
      <c r="I10" s="396"/>
    </row>
    <row r="11" spans="1:9" ht="15.5" x14ac:dyDescent="0.35">
      <c r="A11" s="399"/>
      <c r="B11" s="456"/>
      <c r="C11" s="91" t="s">
        <v>215</v>
      </c>
      <c r="D11" s="446"/>
      <c r="E11" s="397"/>
      <c r="F11" s="399"/>
      <c r="G11" s="399"/>
      <c r="H11" s="368"/>
      <c r="I11" s="396"/>
    </row>
    <row r="12" spans="1:9" ht="15.5" x14ac:dyDescent="0.35">
      <c r="A12" s="399"/>
      <c r="B12" s="456"/>
      <c r="C12" s="91" t="s">
        <v>216</v>
      </c>
      <c r="D12" s="446"/>
      <c r="E12" s="397"/>
      <c r="F12" s="399"/>
      <c r="G12" s="399"/>
      <c r="H12" s="368"/>
      <c r="I12" s="396"/>
    </row>
    <row r="13" spans="1:9" ht="15.5" x14ac:dyDescent="0.35">
      <c r="A13" s="399"/>
      <c r="B13" s="456"/>
      <c r="C13" s="91" t="s">
        <v>217</v>
      </c>
      <c r="D13" s="446"/>
      <c r="E13" s="397"/>
      <c r="F13" s="399"/>
      <c r="G13" s="399"/>
      <c r="H13" s="368"/>
      <c r="I13" s="396"/>
    </row>
    <row r="14" spans="1:9" ht="16" thickBot="1" x14ac:dyDescent="0.4">
      <c r="A14" s="399"/>
      <c r="B14" s="457"/>
      <c r="C14" s="92" t="s">
        <v>218</v>
      </c>
      <c r="D14" s="446"/>
      <c r="E14" s="397"/>
      <c r="F14" s="399"/>
      <c r="G14" s="399"/>
      <c r="H14" s="368"/>
      <c r="I14" s="396"/>
    </row>
    <row r="15" spans="1:9" ht="98.5" customHeight="1" x14ac:dyDescent="0.35">
      <c r="A15" s="247"/>
      <c r="B15" s="421" t="s">
        <v>219</v>
      </c>
      <c r="C15" s="417"/>
      <c r="D15" s="417"/>
      <c r="E15" s="93" t="s">
        <v>141</v>
      </c>
      <c r="F15" s="94" t="s">
        <v>141</v>
      </c>
      <c r="G15" s="238" t="s">
        <v>141</v>
      </c>
      <c r="H15" s="321" t="s">
        <v>141</v>
      </c>
      <c r="I15" s="79"/>
    </row>
    <row r="16" spans="1:9" ht="15.5" x14ac:dyDescent="0.35">
      <c r="A16" s="95"/>
      <c r="B16" s="408" t="s">
        <v>220</v>
      </c>
      <c r="C16" s="409"/>
      <c r="D16" s="409"/>
      <c r="E16" s="409"/>
      <c r="F16" s="409"/>
      <c r="G16" s="410"/>
      <c r="H16" s="322">
        <f>SUM(H15)</f>
        <v>0</v>
      </c>
      <c r="I16" s="96"/>
    </row>
    <row r="17" spans="1:9" ht="15.75" customHeight="1" x14ac:dyDescent="0.35">
      <c r="A17" s="339" t="s">
        <v>520</v>
      </c>
      <c r="B17" s="418" t="s">
        <v>221</v>
      </c>
      <c r="C17" s="419"/>
      <c r="D17" s="420"/>
      <c r="E17" s="90"/>
      <c r="F17" s="89"/>
      <c r="G17" s="89"/>
      <c r="H17" s="320"/>
      <c r="I17" s="89"/>
    </row>
    <row r="18" spans="1:9" ht="84.75" customHeight="1" x14ac:dyDescent="0.35">
      <c r="A18" s="340" t="s">
        <v>522</v>
      </c>
      <c r="B18" s="414" t="s">
        <v>523</v>
      </c>
      <c r="C18" s="414"/>
      <c r="D18" s="414"/>
      <c r="E18" s="77"/>
      <c r="F18" s="68" t="s">
        <v>223</v>
      </c>
      <c r="G18" s="6" t="s">
        <v>113</v>
      </c>
      <c r="H18" s="112">
        <f>IF(ISNUMBER(E18), 1, 0)</f>
        <v>0</v>
      </c>
      <c r="I18" s="80"/>
    </row>
    <row r="19" spans="1:9" ht="64.5" customHeight="1" thickBot="1" x14ac:dyDescent="0.4">
      <c r="A19" s="338"/>
      <c r="B19" s="414" t="s">
        <v>524</v>
      </c>
      <c r="C19" s="414"/>
      <c r="D19" s="414"/>
      <c r="E19" s="93" t="s">
        <v>141</v>
      </c>
      <c r="F19" s="94" t="s">
        <v>141</v>
      </c>
      <c r="G19" s="238" t="s">
        <v>141</v>
      </c>
      <c r="H19" s="321" t="s">
        <v>141</v>
      </c>
      <c r="I19" s="80"/>
    </row>
    <row r="20" spans="1:9" ht="31" x14ac:dyDescent="0.35">
      <c r="A20" s="399"/>
      <c r="B20" s="97"/>
      <c r="C20" s="98" t="s">
        <v>225</v>
      </c>
      <c r="D20" s="99"/>
      <c r="E20" s="397"/>
      <c r="F20" s="399"/>
      <c r="G20" s="399"/>
      <c r="H20" s="368"/>
      <c r="I20" s="396"/>
    </row>
    <row r="21" spans="1:9" ht="15.5" x14ac:dyDescent="0.35">
      <c r="A21" s="399"/>
      <c r="B21" s="100" t="s">
        <v>226</v>
      </c>
      <c r="C21" s="101">
        <v>1000</v>
      </c>
      <c r="D21" s="102"/>
      <c r="E21" s="397"/>
      <c r="F21" s="399"/>
      <c r="G21" s="399"/>
      <c r="H21" s="368"/>
      <c r="I21" s="396"/>
    </row>
    <row r="22" spans="1:9" ht="15.5" x14ac:dyDescent="0.35">
      <c r="A22" s="399"/>
      <c r="B22" s="100" t="s">
        <v>227</v>
      </c>
      <c r="C22" s="341">
        <v>1300</v>
      </c>
      <c r="D22" s="102"/>
      <c r="E22" s="397"/>
      <c r="F22" s="399"/>
      <c r="G22" s="399"/>
      <c r="H22" s="368"/>
      <c r="I22" s="396"/>
    </row>
    <row r="23" spans="1:9" ht="16" thickBot="1" x14ac:dyDescent="0.4">
      <c r="A23" s="399"/>
      <c r="B23" s="103" t="s">
        <v>228</v>
      </c>
      <c r="C23" s="104">
        <v>2500</v>
      </c>
      <c r="D23" s="102"/>
      <c r="E23" s="397"/>
      <c r="F23" s="399"/>
      <c r="G23" s="399"/>
      <c r="H23" s="368"/>
      <c r="I23" s="396"/>
    </row>
    <row r="24" spans="1:9" ht="15.5" x14ac:dyDescent="0.35">
      <c r="A24" s="400"/>
      <c r="B24" s="444" t="s">
        <v>525</v>
      </c>
      <c r="C24" s="444"/>
      <c r="D24" s="444"/>
      <c r="E24" s="398"/>
      <c r="F24" s="400"/>
      <c r="G24" s="400"/>
      <c r="H24" s="367"/>
      <c r="I24" s="396"/>
    </row>
    <row r="25" spans="1:9" ht="15.5" x14ac:dyDescent="0.35">
      <c r="A25" s="95"/>
      <c r="B25" s="408" t="s">
        <v>229</v>
      </c>
      <c r="C25" s="409"/>
      <c r="D25" s="409"/>
      <c r="E25" s="409"/>
      <c r="F25" s="409"/>
      <c r="G25" s="410"/>
      <c r="H25" s="322">
        <f>SUM(H18:H19)</f>
        <v>0</v>
      </c>
      <c r="I25" s="96"/>
    </row>
    <row r="26" spans="1:9" ht="15.5" x14ac:dyDescent="0.35">
      <c r="A26" s="87" t="s">
        <v>230</v>
      </c>
      <c r="B26" s="415" t="s">
        <v>231</v>
      </c>
      <c r="C26" s="415"/>
      <c r="D26" s="416"/>
      <c r="E26" s="88"/>
      <c r="F26" s="87"/>
      <c r="G26" s="87"/>
      <c r="H26" s="318"/>
      <c r="I26" s="87"/>
    </row>
    <row r="27" spans="1:9" ht="47.25" customHeight="1" x14ac:dyDescent="0.35">
      <c r="A27" s="247" t="s">
        <v>222</v>
      </c>
      <c r="B27" s="421" t="s">
        <v>232</v>
      </c>
      <c r="C27" s="421"/>
      <c r="D27" s="421"/>
      <c r="E27" s="77"/>
      <c r="F27" s="248" t="s">
        <v>70</v>
      </c>
      <c r="G27" s="6" t="s">
        <v>233</v>
      </c>
      <c r="H27" s="112">
        <f>IF(E27="Y",3,0)</f>
        <v>0</v>
      </c>
      <c r="I27" s="117"/>
    </row>
    <row r="28" spans="1:9" ht="17.25" customHeight="1" x14ac:dyDescent="0.35">
      <c r="A28" s="247" t="s">
        <v>77</v>
      </c>
      <c r="B28" s="414" t="s">
        <v>526</v>
      </c>
      <c r="C28" s="414"/>
      <c r="D28" s="414"/>
      <c r="E28" s="77"/>
      <c r="F28" s="248" t="s">
        <v>70</v>
      </c>
      <c r="G28" s="6" t="s">
        <v>130</v>
      </c>
      <c r="H28" s="112">
        <f>IF(E28="Y",2,0)</f>
        <v>0</v>
      </c>
      <c r="I28" s="117"/>
    </row>
    <row r="29" spans="1:9" ht="15.5" x14ac:dyDescent="0.35">
      <c r="A29" s="95"/>
      <c r="B29" s="408" t="s">
        <v>234</v>
      </c>
      <c r="C29" s="409"/>
      <c r="D29" s="409"/>
      <c r="E29" s="409"/>
      <c r="F29" s="409"/>
      <c r="G29" s="410"/>
      <c r="H29" s="322">
        <f>H27+H28</f>
        <v>0</v>
      </c>
      <c r="I29" s="96"/>
    </row>
    <row r="30" spans="1:9" ht="15.5" x14ac:dyDescent="0.35">
      <c r="A30" s="84" t="s">
        <v>235</v>
      </c>
      <c r="B30" s="461" t="s">
        <v>236</v>
      </c>
      <c r="C30" s="462"/>
      <c r="D30" s="462"/>
      <c r="E30" s="462"/>
      <c r="F30" s="462"/>
      <c r="G30" s="85">
        <v>5</v>
      </c>
      <c r="H30" s="323">
        <f>MIN(SUM(H57,H62,H68),5)</f>
        <v>0</v>
      </c>
      <c r="I30" s="86"/>
    </row>
    <row r="31" spans="1:9" ht="15.75" customHeight="1" x14ac:dyDescent="0.35">
      <c r="A31" s="87" t="s">
        <v>237</v>
      </c>
      <c r="B31" s="415" t="s">
        <v>238</v>
      </c>
      <c r="C31" s="415"/>
      <c r="D31" s="416"/>
      <c r="E31" s="88"/>
      <c r="F31" s="87"/>
      <c r="G31" s="87"/>
      <c r="H31" s="318"/>
      <c r="I31" s="87"/>
    </row>
    <row r="32" spans="1:9" ht="31.5" customHeight="1" x14ac:dyDescent="0.35">
      <c r="A32" s="105"/>
      <c r="B32" s="471" t="s">
        <v>239</v>
      </c>
      <c r="C32" s="471"/>
      <c r="D32" s="471"/>
      <c r="E32" s="106"/>
      <c r="F32" s="107"/>
      <c r="G32" s="108"/>
      <c r="H32" s="324"/>
      <c r="I32" s="105"/>
    </row>
    <row r="33" spans="1:13" ht="16" thickBot="1" x14ac:dyDescent="0.4">
      <c r="A33" s="436" t="s">
        <v>75</v>
      </c>
      <c r="B33" s="437" t="s">
        <v>240</v>
      </c>
      <c r="C33" s="438"/>
      <c r="D33" s="427"/>
      <c r="E33" s="251"/>
      <c r="F33" s="109"/>
      <c r="G33" s="75"/>
      <c r="H33" s="299"/>
      <c r="I33" s="47"/>
    </row>
    <row r="34" spans="1:13" ht="15.5" x14ac:dyDescent="0.35">
      <c r="A34" s="451"/>
      <c r="B34" s="97"/>
      <c r="C34" s="98" t="s">
        <v>241</v>
      </c>
      <c r="D34" s="448"/>
      <c r="E34" s="433"/>
      <c r="F34" s="435" t="s">
        <v>73</v>
      </c>
      <c r="G34" s="436" t="s">
        <v>113</v>
      </c>
      <c r="H34" s="376">
        <f>IF(ISBLANK(E34),0,IF(E34&lt;=0.35,1,0))</f>
        <v>0</v>
      </c>
      <c r="I34" s="401"/>
    </row>
    <row r="35" spans="1:13" ht="15.5" x14ac:dyDescent="0.35">
      <c r="A35" s="451"/>
      <c r="B35" s="100" t="s">
        <v>226</v>
      </c>
      <c r="C35" s="101" t="s">
        <v>242</v>
      </c>
      <c r="D35" s="448"/>
      <c r="E35" s="434"/>
      <c r="F35" s="435"/>
      <c r="G35" s="436"/>
      <c r="H35" s="404"/>
      <c r="I35" s="402"/>
    </row>
    <row r="36" spans="1:13" ht="15.5" x14ac:dyDescent="0.35">
      <c r="A36" s="451"/>
      <c r="B36" s="100" t="s">
        <v>227</v>
      </c>
      <c r="C36" s="101" t="s">
        <v>243</v>
      </c>
      <c r="D36" s="448"/>
      <c r="E36" s="434"/>
      <c r="F36" s="435"/>
      <c r="G36" s="436"/>
      <c r="H36" s="404"/>
      <c r="I36" s="402"/>
    </row>
    <row r="37" spans="1:13" ht="16" thickBot="1" x14ac:dyDescent="0.4">
      <c r="A37" s="451"/>
      <c r="B37" s="103" t="s">
        <v>228</v>
      </c>
      <c r="C37" s="104" t="s">
        <v>243</v>
      </c>
      <c r="D37" s="448"/>
      <c r="E37" s="434"/>
      <c r="F37" s="435"/>
      <c r="G37" s="436"/>
      <c r="H37" s="404"/>
      <c r="I37" s="402"/>
    </row>
    <row r="38" spans="1:13" ht="67.5" customHeight="1" thickBot="1" x14ac:dyDescent="0.4">
      <c r="A38" s="422" t="s">
        <v>224</v>
      </c>
      <c r="B38" s="421" t="s">
        <v>244</v>
      </c>
      <c r="C38" s="421"/>
      <c r="D38" s="427"/>
      <c r="E38" s="453"/>
      <c r="F38" s="411"/>
      <c r="G38" s="411"/>
      <c r="H38" s="376"/>
      <c r="I38" s="405"/>
      <c r="K38" s="264"/>
      <c r="L38" s="257"/>
      <c r="M38" s="257"/>
    </row>
    <row r="39" spans="1:13" ht="31.5" customHeight="1" x14ac:dyDescent="0.35">
      <c r="A39" s="452"/>
      <c r="B39" s="97"/>
      <c r="C39" s="110" t="s">
        <v>245</v>
      </c>
      <c r="D39" s="449"/>
      <c r="E39" s="454"/>
      <c r="F39" s="412"/>
      <c r="G39" s="412"/>
      <c r="H39" s="404"/>
      <c r="I39" s="406"/>
      <c r="K39" s="264"/>
      <c r="L39" s="257"/>
      <c r="M39" s="257"/>
    </row>
    <row r="40" spans="1:13" ht="15.75" customHeight="1" x14ac:dyDescent="0.35">
      <c r="A40" s="452"/>
      <c r="B40" s="100" t="s">
        <v>226</v>
      </c>
      <c r="C40" s="101" t="s">
        <v>246</v>
      </c>
      <c r="D40" s="449"/>
      <c r="E40" s="454"/>
      <c r="F40" s="412"/>
      <c r="G40" s="412"/>
      <c r="H40" s="404"/>
      <c r="I40" s="406"/>
      <c r="K40" s="264"/>
      <c r="L40" s="257"/>
      <c r="M40" s="257"/>
    </row>
    <row r="41" spans="1:13" ht="15.75" customHeight="1" thickBot="1" x14ac:dyDescent="0.4">
      <c r="A41" s="452"/>
      <c r="B41" s="103" t="s">
        <v>227</v>
      </c>
      <c r="C41" s="111" t="s">
        <v>247</v>
      </c>
      <c r="D41" s="450"/>
      <c r="E41" s="455"/>
      <c r="F41" s="413"/>
      <c r="G41" s="413"/>
      <c r="H41" s="377"/>
      <c r="I41" s="407"/>
      <c r="K41" s="264"/>
      <c r="L41" s="257"/>
      <c r="M41" s="257"/>
    </row>
    <row r="42" spans="1:13" ht="15.75" customHeight="1" x14ac:dyDescent="0.35">
      <c r="A42" s="423"/>
      <c r="B42" s="428" t="s">
        <v>248</v>
      </c>
      <c r="C42" s="428"/>
      <c r="D42" s="421"/>
      <c r="E42" s="77"/>
      <c r="F42" s="248" t="s">
        <v>79</v>
      </c>
      <c r="G42" s="422" t="s">
        <v>113</v>
      </c>
      <c r="H42" s="376">
        <f>IF(SUM(E42:E46)&gt;=50, 1, 0)</f>
        <v>0</v>
      </c>
      <c r="I42" s="401"/>
      <c r="K42" s="264"/>
      <c r="L42" s="257"/>
      <c r="M42" s="257"/>
    </row>
    <row r="43" spans="1:13" ht="15.5" x14ac:dyDescent="0.35">
      <c r="A43" s="423"/>
      <c r="B43" s="421" t="s">
        <v>249</v>
      </c>
      <c r="C43" s="421"/>
      <c r="D43" s="421"/>
      <c r="E43" s="77"/>
      <c r="F43" s="248" t="s">
        <v>79</v>
      </c>
      <c r="G43" s="423"/>
      <c r="H43" s="404"/>
      <c r="I43" s="402"/>
      <c r="K43" s="264"/>
      <c r="L43" s="265"/>
      <c r="M43" s="262"/>
    </row>
    <row r="44" spans="1:13" ht="15.75" customHeight="1" x14ac:dyDescent="0.35">
      <c r="A44" s="423"/>
      <c r="B44" s="421" t="s">
        <v>250</v>
      </c>
      <c r="C44" s="421"/>
      <c r="D44" s="421"/>
      <c r="E44" s="77"/>
      <c r="F44" s="248" t="s">
        <v>79</v>
      </c>
      <c r="G44" s="423"/>
      <c r="H44" s="404"/>
      <c r="I44" s="402"/>
    </row>
    <row r="45" spans="1:13" ht="15.75" customHeight="1" x14ac:dyDescent="0.35">
      <c r="A45" s="423"/>
      <c r="B45" s="421" t="s">
        <v>251</v>
      </c>
      <c r="C45" s="421"/>
      <c r="D45" s="421"/>
      <c r="E45" s="77"/>
      <c r="F45" s="248" t="s">
        <v>79</v>
      </c>
      <c r="G45" s="423"/>
      <c r="H45" s="404"/>
      <c r="I45" s="402"/>
    </row>
    <row r="46" spans="1:13" ht="47.25" customHeight="1" x14ac:dyDescent="0.35">
      <c r="A46" s="424"/>
      <c r="B46" s="421" t="s">
        <v>252</v>
      </c>
      <c r="C46" s="421"/>
      <c r="D46" s="421"/>
      <c r="E46" s="77"/>
      <c r="F46" s="248" t="s">
        <v>79</v>
      </c>
      <c r="G46" s="424"/>
      <c r="H46" s="377"/>
      <c r="I46" s="403"/>
    </row>
    <row r="47" spans="1:13" ht="47.25" customHeight="1" x14ac:dyDescent="0.35">
      <c r="A47" s="422" t="s">
        <v>80</v>
      </c>
      <c r="B47" s="421" t="s">
        <v>253</v>
      </c>
      <c r="C47" s="421"/>
      <c r="D47" s="421"/>
      <c r="E47" s="251"/>
      <c r="F47" s="248"/>
      <c r="G47"/>
      <c r="H47" s="112"/>
      <c r="I47" s="47"/>
    </row>
    <row r="48" spans="1:13" ht="33" customHeight="1" x14ac:dyDescent="0.35">
      <c r="A48" s="424"/>
      <c r="B48" s="441" t="s">
        <v>254</v>
      </c>
      <c r="C48" s="441"/>
      <c r="D48" s="441"/>
      <c r="E48" s="77"/>
      <c r="F48" s="248" t="s">
        <v>73</v>
      </c>
      <c r="G48" s="240" t="s">
        <v>255</v>
      </c>
      <c r="H48" s="112">
        <f>IF(ISBLANK(E48), ,LEFT(E48,1)*0.25)</f>
        <v>0</v>
      </c>
      <c r="I48" s="47"/>
    </row>
    <row r="49" spans="1:9" ht="83.5" customHeight="1" x14ac:dyDescent="0.35">
      <c r="A49" s="422" t="s">
        <v>85</v>
      </c>
      <c r="B49" s="465" t="s">
        <v>527</v>
      </c>
      <c r="C49" s="414"/>
      <c r="D49" s="466"/>
      <c r="E49" s="251"/>
      <c r="F49" s="248"/>
      <c r="G49" s="72" t="s">
        <v>256</v>
      </c>
      <c r="H49" s="325"/>
      <c r="I49" s="50"/>
    </row>
    <row r="50" spans="1:9" ht="15.5" x14ac:dyDescent="0.35">
      <c r="A50" s="423"/>
      <c r="B50" s="441" t="s">
        <v>257</v>
      </c>
      <c r="C50" s="441"/>
      <c r="D50" s="441"/>
      <c r="E50" s="77"/>
      <c r="F50" s="248" t="s">
        <v>73</v>
      </c>
      <c r="G50" s="6" t="s">
        <v>141</v>
      </c>
      <c r="H50" s="299"/>
      <c r="I50" s="47"/>
    </row>
    <row r="51" spans="1:9" ht="15.5" x14ac:dyDescent="0.35">
      <c r="A51" s="423"/>
      <c r="B51" s="414" t="s">
        <v>528</v>
      </c>
      <c r="C51" s="414"/>
      <c r="D51" s="414"/>
      <c r="E51" s="77"/>
      <c r="F51" s="248" t="s">
        <v>79</v>
      </c>
      <c r="G51" s="374" t="s">
        <v>258</v>
      </c>
      <c r="H51" s="376">
        <f>IF(AND(E51&gt;=20,E52="Y"),0.5,0)</f>
        <v>0</v>
      </c>
      <c r="I51" s="47"/>
    </row>
    <row r="52" spans="1:9" ht="18" customHeight="1" x14ac:dyDescent="0.35">
      <c r="A52" s="423"/>
      <c r="B52" s="414" t="s">
        <v>529</v>
      </c>
      <c r="C52" s="414"/>
      <c r="D52" s="414"/>
      <c r="E52" s="77"/>
      <c r="F52" s="248" t="s">
        <v>70</v>
      </c>
      <c r="G52" s="375"/>
      <c r="H52" s="377"/>
      <c r="I52" s="47"/>
    </row>
    <row r="53" spans="1:9" ht="15.5" x14ac:dyDescent="0.35">
      <c r="A53" s="423"/>
      <c r="B53" s="421" t="s">
        <v>259</v>
      </c>
      <c r="C53" s="421"/>
      <c r="D53" s="421"/>
      <c r="E53" s="77"/>
      <c r="F53" s="68" t="s">
        <v>79</v>
      </c>
      <c r="G53" s="374" t="s">
        <v>258</v>
      </c>
      <c r="H53" s="376">
        <f>IF(OR(AND(E53&lt;=10,E54="Y"),AND(E55&gt;=50,E56="Y")),0.5,0)</f>
        <v>0</v>
      </c>
      <c r="I53" s="47"/>
    </row>
    <row r="54" spans="1:9" ht="15.75" customHeight="1" x14ac:dyDescent="0.35">
      <c r="A54" s="423"/>
      <c r="B54" s="421" t="s">
        <v>260</v>
      </c>
      <c r="C54" s="421"/>
      <c r="D54" s="421"/>
      <c r="E54" s="77"/>
      <c r="F54" s="248" t="s">
        <v>70</v>
      </c>
      <c r="G54" s="429"/>
      <c r="H54" s="404"/>
      <c r="I54" s="47"/>
    </row>
    <row r="55" spans="1:9" ht="15.75" customHeight="1" x14ac:dyDescent="0.35">
      <c r="A55" s="423"/>
      <c r="B55" s="421" t="s">
        <v>261</v>
      </c>
      <c r="C55" s="421"/>
      <c r="D55" s="421"/>
      <c r="E55" s="77"/>
      <c r="F55" s="68" t="s">
        <v>79</v>
      </c>
      <c r="G55" s="429"/>
      <c r="H55" s="404"/>
      <c r="I55" s="47"/>
    </row>
    <row r="56" spans="1:9" ht="15.75" customHeight="1" x14ac:dyDescent="0.35">
      <c r="A56" s="424"/>
      <c r="B56" s="421" t="s">
        <v>262</v>
      </c>
      <c r="C56" s="421"/>
      <c r="D56" s="421"/>
      <c r="E56" s="77"/>
      <c r="F56" s="248" t="s">
        <v>70</v>
      </c>
      <c r="G56" s="375"/>
      <c r="H56" s="377"/>
      <c r="I56" s="47"/>
    </row>
    <row r="57" spans="1:9" ht="15.5" x14ac:dyDescent="0.35">
      <c r="A57" s="95"/>
      <c r="B57" s="408" t="s">
        <v>263</v>
      </c>
      <c r="C57" s="409"/>
      <c r="D57" s="409"/>
      <c r="E57" s="409"/>
      <c r="F57" s="409"/>
      <c r="G57" s="410"/>
      <c r="H57" s="322">
        <f>SUM(H51:H56,H48,H42,H34)</f>
        <v>0</v>
      </c>
      <c r="I57" s="96"/>
    </row>
    <row r="58" spans="1:9" ht="15.75" customHeight="1" x14ac:dyDescent="0.35">
      <c r="A58" s="113" t="s">
        <v>264</v>
      </c>
      <c r="B58" s="447" t="s">
        <v>265</v>
      </c>
      <c r="C58" s="415"/>
      <c r="D58" s="416"/>
      <c r="E58" s="88"/>
      <c r="F58" s="87"/>
      <c r="G58" s="87"/>
      <c r="H58" s="318"/>
      <c r="I58" s="87"/>
    </row>
    <row r="59" spans="1:9" ht="34" customHeight="1" x14ac:dyDescent="0.35">
      <c r="A59" s="432" t="s">
        <v>75</v>
      </c>
      <c r="B59" s="437" t="s">
        <v>266</v>
      </c>
      <c r="C59" s="438"/>
      <c r="D59" s="427"/>
      <c r="E59" s="77"/>
      <c r="F59" s="68" t="s">
        <v>267</v>
      </c>
      <c r="G59" s="374" t="s">
        <v>130</v>
      </c>
      <c r="H59" s="442">
        <f>IF(AND(E59="Cost",E60&gt;=60),2,0) + IF(AND(E59="Area",E60&gt;=80),2,0)</f>
        <v>0</v>
      </c>
      <c r="I59" s="47"/>
    </row>
    <row r="60" spans="1:9" ht="31" customHeight="1" x14ac:dyDescent="0.35">
      <c r="A60" s="432"/>
      <c r="B60" s="439"/>
      <c r="C60" s="428"/>
      <c r="D60" s="440"/>
      <c r="E60" s="77"/>
      <c r="F60" s="68" t="s">
        <v>79</v>
      </c>
      <c r="G60" s="375"/>
      <c r="H60" s="443"/>
      <c r="I60" s="47"/>
    </row>
    <row r="61" spans="1:9" ht="48" customHeight="1" x14ac:dyDescent="0.35">
      <c r="A61" s="247" t="s">
        <v>77</v>
      </c>
      <c r="B61" s="426" t="s">
        <v>268</v>
      </c>
      <c r="C61" s="421"/>
      <c r="D61" s="421"/>
      <c r="E61" s="77"/>
      <c r="F61" s="68" t="s">
        <v>79</v>
      </c>
      <c r="G61" s="240" t="s">
        <v>233</v>
      </c>
      <c r="H61" s="326">
        <f>IF(E61&gt;=60,3,0)</f>
        <v>0</v>
      </c>
      <c r="I61" s="47"/>
    </row>
    <row r="62" spans="1:9" ht="15.75" customHeight="1" x14ac:dyDescent="0.35">
      <c r="A62" s="114"/>
      <c r="B62" s="408" t="s">
        <v>269</v>
      </c>
      <c r="C62" s="409"/>
      <c r="D62" s="409"/>
      <c r="E62" s="409"/>
      <c r="F62" s="409"/>
      <c r="G62" s="410"/>
      <c r="H62" s="322">
        <f>SUM(H59:H61)</f>
        <v>0</v>
      </c>
      <c r="I62" s="96"/>
    </row>
    <row r="63" spans="1:9" ht="15.5" x14ac:dyDescent="0.35">
      <c r="A63" s="87" t="s">
        <v>270</v>
      </c>
      <c r="B63" s="415" t="s">
        <v>271</v>
      </c>
      <c r="C63" s="415"/>
      <c r="D63" s="416"/>
      <c r="E63" s="88"/>
      <c r="F63" s="87"/>
      <c r="G63" s="87"/>
      <c r="H63" s="318"/>
      <c r="I63" s="87"/>
    </row>
    <row r="64" spans="1:9" ht="65.25" customHeight="1" x14ac:dyDescent="0.35">
      <c r="A64" s="247"/>
      <c r="B64" s="426" t="s">
        <v>272</v>
      </c>
      <c r="C64" s="421"/>
      <c r="D64" s="421"/>
      <c r="E64" s="251"/>
      <c r="F64" s="68"/>
      <c r="G64" s="288"/>
      <c r="H64" s="112"/>
      <c r="I64" s="289"/>
    </row>
    <row r="65" spans="1:9" ht="15.5" x14ac:dyDescent="0.35">
      <c r="A65" s="247" t="s">
        <v>75</v>
      </c>
      <c r="B65" s="426" t="s">
        <v>273</v>
      </c>
      <c r="C65" s="421"/>
      <c r="D65" s="421"/>
      <c r="E65" s="77"/>
      <c r="F65" s="248" t="s">
        <v>70</v>
      </c>
      <c r="G65" s="238" t="s">
        <v>113</v>
      </c>
      <c r="H65" s="326">
        <f>IF(E65="Y",1,0)</f>
        <v>0</v>
      </c>
      <c r="I65" s="47"/>
    </row>
    <row r="66" spans="1:9" ht="47.25" customHeight="1" x14ac:dyDescent="0.35">
      <c r="A66" s="247" t="s">
        <v>224</v>
      </c>
      <c r="B66" s="426" t="s">
        <v>274</v>
      </c>
      <c r="C66" s="421"/>
      <c r="D66" s="421"/>
      <c r="E66" s="77"/>
      <c r="F66" s="248" t="s">
        <v>70</v>
      </c>
      <c r="G66" s="238" t="s">
        <v>113</v>
      </c>
      <c r="H66" s="326">
        <f>IF(E66="Y",1,0)</f>
        <v>0</v>
      </c>
      <c r="I66" s="47"/>
    </row>
    <row r="67" spans="1:9" ht="51.65" customHeight="1" x14ac:dyDescent="0.35">
      <c r="A67" s="247" t="s">
        <v>275</v>
      </c>
      <c r="B67" s="426" t="s">
        <v>276</v>
      </c>
      <c r="C67" s="421"/>
      <c r="D67" s="421"/>
      <c r="E67" s="77"/>
      <c r="F67" s="248" t="s">
        <v>70</v>
      </c>
      <c r="G67" s="238" t="s">
        <v>113</v>
      </c>
      <c r="H67" s="326">
        <f>IF(E67="Y",1,0)</f>
        <v>0</v>
      </c>
      <c r="I67" s="47"/>
    </row>
    <row r="68" spans="1:9" ht="15.5" x14ac:dyDescent="0.35">
      <c r="A68" s="114"/>
      <c r="B68" s="408" t="s">
        <v>277</v>
      </c>
      <c r="C68" s="409"/>
      <c r="D68" s="409"/>
      <c r="E68" s="409"/>
      <c r="F68" s="409"/>
      <c r="G68" s="410"/>
      <c r="H68" s="322">
        <f>SUM(H65:H67)</f>
        <v>0</v>
      </c>
      <c r="I68" s="96"/>
    </row>
    <row r="69" spans="1:9" ht="15.65" customHeight="1" x14ac:dyDescent="0.35">
      <c r="A69" s="84" t="s">
        <v>278</v>
      </c>
      <c r="B69" s="461" t="s">
        <v>279</v>
      </c>
      <c r="C69" s="462"/>
      <c r="D69" s="462"/>
      <c r="E69" s="462"/>
      <c r="F69" s="462"/>
      <c r="G69" s="115">
        <v>5</v>
      </c>
      <c r="H69" s="323">
        <f>MIN(SUM(H72,H76,H79),5)</f>
        <v>0</v>
      </c>
      <c r="I69" s="86"/>
    </row>
    <row r="70" spans="1:9" ht="19" customHeight="1" x14ac:dyDescent="0.35">
      <c r="A70" s="87" t="s">
        <v>280</v>
      </c>
      <c r="B70" s="415" t="s">
        <v>281</v>
      </c>
      <c r="C70" s="415"/>
      <c r="D70" s="416"/>
      <c r="E70" s="88"/>
      <c r="F70" s="87"/>
      <c r="G70" s="87"/>
      <c r="H70" s="318"/>
      <c r="I70" s="87"/>
    </row>
    <row r="71" spans="1:9" ht="98.5" customHeight="1" x14ac:dyDescent="0.35">
      <c r="A71" s="116"/>
      <c r="B71" s="426" t="s">
        <v>282</v>
      </c>
      <c r="C71" s="421"/>
      <c r="D71" s="421"/>
      <c r="E71" s="77"/>
      <c r="F71" s="68" t="s">
        <v>79</v>
      </c>
      <c r="G71" s="240" t="s">
        <v>283</v>
      </c>
      <c r="H71" s="296">
        <f>IF(E71=100,3,IF(E71&gt;=70,2,IF(E71&gt;=50,1,0)))</f>
        <v>0</v>
      </c>
      <c r="I71" s="47"/>
    </row>
    <row r="72" spans="1:9" ht="15.5" x14ac:dyDescent="0.35">
      <c r="A72" s="95"/>
      <c r="B72" s="408" t="s">
        <v>284</v>
      </c>
      <c r="C72" s="409"/>
      <c r="D72" s="409"/>
      <c r="E72" s="409"/>
      <c r="F72" s="409"/>
      <c r="G72" s="410"/>
      <c r="H72" s="322">
        <f>H71</f>
        <v>0</v>
      </c>
      <c r="I72" s="96"/>
    </row>
    <row r="73" spans="1:9" ht="16.5" customHeight="1" x14ac:dyDescent="0.35">
      <c r="A73" s="87" t="s">
        <v>285</v>
      </c>
      <c r="B73" s="415" t="s">
        <v>286</v>
      </c>
      <c r="C73" s="415"/>
      <c r="D73" s="416"/>
      <c r="E73" s="88"/>
      <c r="F73" s="87"/>
      <c r="G73" s="87"/>
      <c r="H73" s="318"/>
      <c r="I73" s="87"/>
    </row>
    <row r="74" spans="1:9" ht="48.75" customHeight="1" x14ac:dyDescent="0.35">
      <c r="A74" s="247" t="s">
        <v>75</v>
      </c>
      <c r="B74" s="425" t="s">
        <v>530</v>
      </c>
      <c r="C74" s="414"/>
      <c r="D74" s="414"/>
      <c r="E74" s="77"/>
      <c r="F74" s="68" t="s">
        <v>79</v>
      </c>
      <c r="G74" s="240" t="s">
        <v>113</v>
      </c>
      <c r="H74" s="296">
        <f>IF(E74&gt;=80,1,0)</f>
        <v>0</v>
      </c>
      <c r="I74" s="81"/>
    </row>
    <row r="75" spans="1:9" ht="50.5" customHeight="1" x14ac:dyDescent="0.35">
      <c r="A75" s="247" t="s">
        <v>224</v>
      </c>
      <c r="B75" s="426" t="s">
        <v>287</v>
      </c>
      <c r="C75" s="421"/>
      <c r="D75" s="421"/>
      <c r="E75" s="77"/>
      <c r="F75" s="68" t="s">
        <v>79</v>
      </c>
      <c r="G75" s="240" t="s">
        <v>113</v>
      </c>
      <c r="H75" s="296">
        <f>IF(E75&gt;=80,1,0)</f>
        <v>0</v>
      </c>
      <c r="I75" s="81"/>
    </row>
    <row r="76" spans="1:9" ht="15.5" x14ac:dyDescent="0.35">
      <c r="A76" s="95"/>
      <c r="B76" s="408" t="s">
        <v>288</v>
      </c>
      <c r="C76" s="409"/>
      <c r="D76" s="409"/>
      <c r="E76" s="409"/>
      <c r="F76" s="409"/>
      <c r="G76" s="410"/>
      <c r="H76" s="322">
        <f>SUM(H74:H75)</f>
        <v>0</v>
      </c>
      <c r="I76" s="96"/>
    </row>
    <row r="77" spans="1:9" ht="15.5" x14ac:dyDescent="0.35">
      <c r="A77" s="87" t="s">
        <v>289</v>
      </c>
      <c r="B77" s="415" t="s">
        <v>290</v>
      </c>
      <c r="C77" s="415"/>
      <c r="D77" s="416"/>
      <c r="E77" s="88"/>
      <c r="F77" s="87"/>
      <c r="G77" s="87"/>
      <c r="H77" s="318"/>
      <c r="I77" s="87"/>
    </row>
    <row r="78" spans="1:9" ht="100" customHeight="1" x14ac:dyDescent="0.35">
      <c r="A78" s="247"/>
      <c r="B78" s="467" t="s">
        <v>291</v>
      </c>
      <c r="C78" s="467"/>
      <c r="D78" s="467"/>
      <c r="E78" s="77"/>
      <c r="F78" s="68" t="s">
        <v>79</v>
      </c>
      <c r="G78" s="240" t="s">
        <v>283</v>
      </c>
      <c r="H78" s="296">
        <f>IF(E78&gt;=90,3,IF(E78&gt;=60,2,IF(E78&gt;=30,1,0)))</f>
        <v>0</v>
      </c>
      <c r="I78" s="18"/>
    </row>
    <row r="79" spans="1:9" ht="15.5" x14ac:dyDescent="0.35">
      <c r="A79" s="95"/>
      <c r="B79" s="408" t="s">
        <v>292</v>
      </c>
      <c r="C79" s="409"/>
      <c r="D79" s="409"/>
      <c r="E79" s="409"/>
      <c r="F79" s="409"/>
      <c r="G79" s="410"/>
      <c r="H79" s="322">
        <f>H78</f>
        <v>0</v>
      </c>
      <c r="I79" s="96"/>
    </row>
    <row r="80" spans="1:9" s="266" customFormat="1" ht="18.649999999999999" customHeight="1" x14ac:dyDescent="0.35">
      <c r="A80" s="84"/>
      <c r="B80" s="461" t="s">
        <v>293</v>
      </c>
      <c r="C80" s="462"/>
      <c r="D80" s="462"/>
      <c r="E80" s="462"/>
      <c r="F80" s="462"/>
      <c r="G80" s="115">
        <v>2</v>
      </c>
      <c r="H80" s="323">
        <f>SUM(H82:H83)</f>
        <v>0</v>
      </c>
      <c r="I80" s="86"/>
    </row>
    <row r="81" spans="1:9" ht="65.150000000000006" customHeight="1" x14ac:dyDescent="0.35">
      <c r="A81" s="87"/>
      <c r="B81" s="464" t="s">
        <v>294</v>
      </c>
      <c r="C81" s="464"/>
      <c r="D81" s="464"/>
      <c r="E81" s="88"/>
      <c r="F81" s="87"/>
      <c r="G81" s="88" t="s">
        <v>198</v>
      </c>
      <c r="H81" s="318"/>
      <c r="I81" s="249" t="s">
        <v>199</v>
      </c>
    </row>
    <row r="82" spans="1:9" ht="183" customHeight="1" x14ac:dyDescent="0.35">
      <c r="A82" s="247"/>
      <c r="B82" s="463" t="s">
        <v>531</v>
      </c>
      <c r="C82" s="463"/>
      <c r="D82" s="463"/>
      <c r="E82" s="77"/>
      <c r="F82" s="74" t="s">
        <v>73</v>
      </c>
      <c r="G82" s="366" t="s">
        <v>200</v>
      </c>
      <c r="H82" s="296">
        <f>E82</f>
        <v>0</v>
      </c>
      <c r="I82" s="81" t="s">
        <v>201</v>
      </c>
    </row>
    <row r="83" spans="1:9" ht="183" customHeight="1" x14ac:dyDescent="0.35">
      <c r="A83" s="75"/>
      <c r="B83" s="463"/>
      <c r="C83" s="463"/>
      <c r="D83" s="463"/>
      <c r="E83" s="77"/>
      <c r="F83" s="74" t="s">
        <v>73</v>
      </c>
      <c r="G83" s="366"/>
      <c r="H83" s="296">
        <f>E83</f>
        <v>0</v>
      </c>
      <c r="I83" s="81" t="s">
        <v>202</v>
      </c>
    </row>
  </sheetData>
  <sheetProtection algorithmName="SHA-512" hashValue="Xj3k9/XMcLimeURYGOsBdreifLGhyCBJdD2r3QP/MZtuedeFihexh1eE4STWALiIDBTIeBNIvyKIDoKcDyh73w==" saltValue="DBiOfoYHiQjtYynor90Fmw==" spinCount="100000" sheet="1" formatCells="0" selectLockedCells="1"/>
  <mergeCells count="105">
    <mergeCell ref="B63:D63"/>
    <mergeCell ref="B65:D65"/>
    <mergeCell ref="B56:D56"/>
    <mergeCell ref="B47:D47"/>
    <mergeCell ref="B44:D44"/>
    <mergeCell ref="B45:D45"/>
    <mergeCell ref="B46:D46"/>
    <mergeCell ref="B26:D26"/>
    <mergeCell ref="B27:D27"/>
    <mergeCell ref="B31:D31"/>
    <mergeCell ref="B32:D32"/>
    <mergeCell ref="B51:D51"/>
    <mergeCell ref="B52:D52"/>
    <mergeCell ref="B53:D53"/>
    <mergeCell ref="B64:D64"/>
    <mergeCell ref="B28:D28"/>
    <mergeCell ref="B1:D1"/>
    <mergeCell ref="B3:F3"/>
    <mergeCell ref="B30:F30"/>
    <mergeCell ref="B69:F69"/>
    <mergeCell ref="G82:G83"/>
    <mergeCell ref="B82:D83"/>
    <mergeCell ref="B16:G16"/>
    <mergeCell ref="B25:G25"/>
    <mergeCell ref="B29:G29"/>
    <mergeCell ref="B57:G57"/>
    <mergeCell ref="B62:G62"/>
    <mergeCell ref="B68:G68"/>
    <mergeCell ref="B81:D81"/>
    <mergeCell ref="B70:D70"/>
    <mergeCell ref="B71:D71"/>
    <mergeCell ref="B49:D49"/>
    <mergeCell ref="B50:D50"/>
    <mergeCell ref="B54:D54"/>
    <mergeCell ref="B55:D55"/>
    <mergeCell ref="B80:F80"/>
    <mergeCell ref="B75:D75"/>
    <mergeCell ref="B77:D77"/>
    <mergeCell ref="B78:D78"/>
    <mergeCell ref="A2:F2"/>
    <mergeCell ref="B24:D24"/>
    <mergeCell ref="A7:A14"/>
    <mergeCell ref="D7:D14"/>
    <mergeCell ref="B58:D58"/>
    <mergeCell ref="E7:E14"/>
    <mergeCell ref="F7:F14"/>
    <mergeCell ref="D34:D37"/>
    <mergeCell ref="A20:A24"/>
    <mergeCell ref="D39:D41"/>
    <mergeCell ref="A33:A37"/>
    <mergeCell ref="A38:A46"/>
    <mergeCell ref="E38:E41"/>
    <mergeCell ref="F38:F41"/>
    <mergeCell ref="A47:A48"/>
    <mergeCell ref="A49:A56"/>
    <mergeCell ref="B10:B14"/>
    <mergeCell ref="B8:B9"/>
    <mergeCell ref="A59:A60"/>
    <mergeCell ref="E34:E37"/>
    <mergeCell ref="F34:F37"/>
    <mergeCell ref="G34:G37"/>
    <mergeCell ref="H34:H37"/>
    <mergeCell ref="G59:G60"/>
    <mergeCell ref="B59:D60"/>
    <mergeCell ref="B48:D48"/>
    <mergeCell ref="B33:D33"/>
    <mergeCell ref="H42:H46"/>
    <mergeCell ref="H59:H60"/>
    <mergeCell ref="H51:H52"/>
    <mergeCell ref="H53:H56"/>
    <mergeCell ref="B79:G79"/>
    <mergeCell ref="G38:G41"/>
    <mergeCell ref="B18:D18"/>
    <mergeCell ref="B4:D4"/>
    <mergeCell ref="B5:D5"/>
    <mergeCell ref="B6:D6"/>
    <mergeCell ref="B15:D15"/>
    <mergeCell ref="G42:G46"/>
    <mergeCell ref="B74:D74"/>
    <mergeCell ref="B66:D66"/>
    <mergeCell ref="B67:D67"/>
    <mergeCell ref="B61:D61"/>
    <mergeCell ref="B73:D73"/>
    <mergeCell ref="B17:D17"/>
    <mergeCell ref="B38:D38"/>
    <mergeCell ref="B42:D42"/>
    <mergeCell ref="B43:D43"/>
    <mergeCell ref="G53:G56"/>
    <mergeCell ref="G51:G52"/>
    <mergeCell ref="B72:G72"/>
    <mergeCell ref="B76:G76"/>
    <mergeCell ref="G7:G14"/>
    <mergeCell ref="B7:C7"/>
    <mergeCell ref="B19:D19"/>
    <mergeCell ref="I7:I14"/>
    <mergeCell ref="E20:E24"/>
    <mergeCell ref="F20:F24"/>
    <mergeCell ref="G20:G24"/>
    <mergeCell ref="I42:I46"/>
    <mergeCell ref="H38:H41"/>
    <mergeCell ref="I38:I41"/>
    <mergeCell ref="I34:I37"/>
    <mergeCell ref="H20:H24"/>
    <mergeCell ref="I20:I24"/>
    <mergeCell ref="H7:H14"/>
  </mergeCells>
  <dataValidations count="9">
    <dataValidation type="decimal" allowBlank="1" showErrorMessage="1" error="Please enter 0.5 or 1 or 1.5 or 2." prompt="Please Enter 0 or 1 or 1.5 or 2." sqref="H82 H74:H75" xr:uid="{00000000-0002-0000-0400-000000000000}">
      <formula1>0</formula1>
      <formula2>2</formula2>
    </dataValidation>
    <dataValidation allowBlank="1" showInputMessage="1" showErrorMessage="1" prompt="Please list down short description of your innovation." sqref="I74:I75 I82:I83" xr:uid="{00000000-0002-0000-0400-000001000000}"/>
    <dataValidation allowBlank="1" showErrorMessage="1" sqref="H83" xr:uid="{00000000-0002-0000-0400-000002000000}"/>
    <dataValidation type="list" allowBlank="1" showInputMessage="1" showErrorMessage="1" sqref="E52 E56 E54 E27:E28 E65:E67" xr:uid="{00000000-0002-0000-0400-000003000000}">
      <formula1>"Y,N"</formula1>
    </dataValidation>
    <dataValidation type="decimal" allowBlank="1" showInputMessage="1" showErrorMessage="1" sqref="E53 E34:E37 E42:E46 E60:E61 E51 E71 E74:E75 E55 E78" xr:uid="{00000000-0002-0000-0400-000004000000}">
      <formula1>0</formula1>
      <formula2>100</formula2>
    </dataValidation>
    <dataValidation type="list" allowBlank="1" showInputMessage="1" showErrorMessage="1" sqref="E48" xr:uid="{00000000-0002-0000-0400-000005000000}">
      <formula1>"2 ticks, 3 ticks, 4 ticks"</formula1>
    </dataValidation>
    <dataValidation type="list" allowBlank="1" showInputMessage="1" showErrorMessage="1" sqref="E59" xr:uid="{00000000-0002-0000-0400-000006000000}">
      <formula1>"Cost,Area"</formula1>
    </dataValidation>
    <dataValidation type="decimal" allowBlank="1" showInputMessage="1" showErrorMessage="1" sqref="E18" xr:uid="{00000000-0002-0000-0400-000007000000}">
      <formula1>0</formula1>
      <formula2>10000</formula2>
    </dataValidation>
    <dataValidation type="list" showErrorMessage="1" error="Please enter 0.5 or 1 or 1.5 or 2." prompt="Please Enter 0.5 or 1 or 1.5 or 2." sqref="E82:E83" xr:uid="{00000000-0002-0000-0400-000008000000}">
      <formula1>"0, 0.5, 1.0, 1.5, 2.0"</formula1>
    </dataValidation>
  </dataValidations>
  <pageMargins left="0.7" right="0.7" top="0.75" bottom="0.75" header="0.3" footer="0.3"/>
  <colBreaks count="1" manualBreakCount="1">
    <brk id="9" max="10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71FEE-F68D-4FA8-B66A-B295AB46A63F}">
  <dimension ref="A1:I95"/>
  <sheetViews>
    <sheetView topLeftCell="A19" workbookViewId="0">
      <selection activeCell="E29" sqref="E29"/>
    </sheetView>
  </sheetViews>
  <sheetFormatPr defaultColWidth="8.7265625" defaultRowHeight="14.5" x14ac:dyDescent="0.35"/>
  <cols>
    <col min="1" max="1" width="8.26953125" style="235" customWidth="1"/>
    <col min="2" max="2" width="22.26953125" style="235" customWidth="1"/>
    <col min="3" max="3" width="46.453125" style="235" customWidth="1"/>
    <col min="4" max="4" width="10.54296875" style="235" customWidth="1"/>
    <col min="5" max="5" width="10.7265625" style="262" customWidth="1"/>
    <col min="6" max="6" width="16.1796875" style="259" customWidth="1"/>
    <col min="7" max="7" width="18.1796875" style="235" customWidth="1"/>
    <col min="8" max="8" width="10.7265625" style="268" customWidth="1"/>
    <col min="9" max="9" width="30.7265625" style="235" customWidth="1"/>
    <col min="10" max="11" width="50.7265625" style="235" customWidth="1"/>
    <col min="12" max="12" width="15.54296875" style="235" customWidth="1"/>
    <col min="13" max="13" width="17.26953125" style="235" customWidth="1"/>
    <col min="14" max="16384" width="8.7265625" style="235"/>
  </cols>
  <sheetData>
    <row r="1" spans="1:9" ht="46.5" x14ac:dyDescent="0.35">
      <c r="A1" s="2"/>
      <c r="B1" s="458" t="s">
        <v>295</v>
      </c>
      <c r="C1" s="459"/>
      <c r="D1" s="460"/>
      <c r="E1" s="19" t="s">
        <v>65</v>
      </c>
      <c r="F1" s="19" t="s">
        <v>66</v>
      </c>
      <c r="G1" s="20" t="s">
        <v>103</v>
      </c>
      <c r="H1" s="19" t="s">
        <v>104</v>
      </c>
      <c r="I1" s="3" t="s">
        <v>67</v>
      </c>
    </row>
    <row r="2" spans="1:9" ht="21" x14ac:dyDescent="0.35">
      <c r="A2" s="475" t="s">
        <v>296</v>
      </c>
      <c r="B2" s="476"/>
      <c r="C2" s="476"/>
      <c r="D2" s="476"/>
      <c r="E2" s="476"/>
      <c r="F2" s="477"/>
      <c r="G2" s="51">
        <v>15</v>
      </c>
      <c r="H2" s="327">
        <f>MIN(SUM(H3,H44,H69,H92),15)</f>
        <v>0</v>
      </c>
      <c r="I2" s="52" t="s">
        <v>105</v>
      </c>
    </row>
    <row r="3" spans="1:9" ht="15.5" x14ac:dyDescent="0.35">
      <c r="A3" s="53" t="s">
        <v>297</v>
      </c>
      <c r="B3" s="478" t="s">
        <v>298</v>
      </c>
      <c r="C3" s="479"/>
      <c r="D3" s="479"/>
      <c r="E3" s="479"/>
      <c r="F3" s="479"/>
      <c r="G3" s="54">
        <v>5</v>
      </c>
      <c r="H3" s="328">
        <f>MIN(SUM(H8,H12,H21,H34,H39,H43), 5)</f>
        <v>0</v>
      </c>
      <c r="I3" s="55"/>
    </row>
    <row r="4" spans="1:9" ht="15.5" x14ac:dyDescent="0.35">
      <c r="A4" s="56" t="s">
        <v>299</v>
      </c>
      <c r="B4" s="480" t="s">
        <v>300</v>
      </c>
      <c r="C4" s="480"/>
      <c r="D4" s="481"/>
      <c r="E4" s="57"/>
      <c r="F4" s="56"/>
      <c r="G4" s="56"/>
      <c r="H4" s="329"/>
      <c r="I4" s="56"/>
    </row>
    <row r="5" spans="1:9" ht="15.5" x14ac:dyDescent="0.35">
      <c r="A5" s="58" t="s">
        <v>301</v>
      </c>
      <c r="B5" s="482" t="s">
        <v>302</v>
      </c>
      <c r="C5" s="482"/>
      <c r="D5" s="482"/>
      <c r="E5" s="59"/>
      <c r="F5" s="58"/>
      <c r="G5" s="60"/>
      <c r="H5" s="330"/>
      <c r="I5" s="60"/>
    </row>
    <row r="6" spans="1:9" ht="15.5" x14ac:dyDescent="0.35">
      <c r="A6" s="6" t="s">
        <v>222</v>
      </c>
      <c r="B6" s="467" t="s">
        <v>512</v>
      </c>
      <c r="C6" s="467"/>
      <c r="D6" s="467"/>
      <c r="E6" s="77"/>
      <c r="F6" s="248" t="s">
        <v>70</v>
      </c>
      <c r="G6" s="6" t="s">
        <v>113</v>
      </c>
      <c r="H6" s="112">
        <f>IF(E6="Y",1,0)</f>
        <v>0</v>
      </c>
      <c r="I6" s="78"/>
    </row>
    <row r="7" spans="1:9" ht="15.5" x14ac:dyDescent="0.35">
      <c r="A7" s="6" t="s">
        <v>224</v>
      </c>
      <c r="B7" s="467" t="s">
        <v>513</v>
      </c>
      <c r="C7" s="467"/>
      <c r="D7" s="467"/>
      <c r="E7" s="77"/>
      <c r="F7" s="248" t="s">
        <v>70</v>
      </c>
      <c r="G7" s="6" t="s">
        <v>113</v>
      </c>
      <c r="H7" s="112">
        <f>IF(E7="Y",1,0)</f>
        <v>0</v>
      </c>
      <c r="I7" s="78"/>
    </row>
    <row r="8" spans="1:9" ht="15.5" x14ac:dyDescent="0.35">
      <c r="A8" s="472" t="s">
        <v>303</v>
      </c>
      <c r="B8" s="472"/>
      <c r="C8" s="472"/>
      <c r="D8" s="472"/>
      <c r="E8" s="472"/>
      <c r="F8" s="472"/>
      <c r="G8" s="472"/>
      <c r="H8" s="331">
        <f>SUM(H6:H7)</f>
        <v>0</v>
      </c>
      <c r="I8" s="61"/>
    </row>
    <row r="9" spans="1:9" ht="15.5" x14ac:dyDescent="0.35">
      <c r="A9" s="58" t="s">
        <v>304</v>
      </c>
      <c r="B9" s="473" t="s">
        <v>305</v>
      </c>
      <c r="C9" s="473"/>
      <c r="D9" s="473"/>
      <c r="E9" s="59"/>
      <c r="F9" s="58"/>
      <c r="G9" s="60"/>
      <c r="H9" s="330"/>
      <c r="I9" s="60"/>
    </row>
    <row r="10" spans="1:9" ht="31" x14ac:dyDescent="0.35">
      <c r="A10" s="6" t="s">
        <v>75</v>
      </c>
      <c r="B10" s="426" t="s">
        <v>306</v>
      </c>
      <c r="C10" s="421"/>
      <c r="D10" s="474"/>
      <c r="E10" s="77"/>
      <c r="F10" s="248" t="s">
        <v>79</v>
      </c>
      <c r="G10" s="240" t="s">
        <v>307</v>
      </c>
      <c r="H10" s="112">
        <f>IF(E10=100,1,IF(E10&gt;=50,0.5,0))</f>
        <v>0</v>
      </c>
      <c r="I10" s="78"/>
    </row>
    <row r="11" spans="1:9" ht="31" x14ac:dyDescent="0.35">
      <c r="A11" s="6" t="s">
        <v>77</v>
      </c>
      <c r="B11" s="421" t="s">
        <v>308</v>
      </c>
      <c r="C11" s="421"/>
      <c r="D11" s="421"/>
      <c r="E11" s="77"/>
      <c r="F11" s="248" t="s">
        <v>79</v>
      </c>
      <c r="G11" s="240" t="s">
        <v>307</v>
      </c>
      <c r="H11" s="112">
        <f>IF(E11&gt;=90,1,IF(E11&gt;=50,0.5,0))</f>
        <v>0</v>
      </c>
      <c r="I11" s="78"/>
    </row>
    <row r="12" spans="1:9" ht="15.5" x14ac:dyDescent="0.35">
      <c r="A12" s="472" t="s">
        <v>309</v>
      </c>
      <c r="B12" s="472"/>
      <c r="C12" s="472"/>
      <c r="D12" s="472"/>
      <c r="E12" s="472"/>
      <c r="F12" s="472"/>
      <c r="G12" s="472"/>
      <c r="H12" s="331">
        <f>SUM(H10:H11)</f>
        <v>0</v>
      </c>
      <c r="I12" s="61"/>
    </row>
    <row r="13" spans="1:9" ht="15.5" x14ac:dyDescent="0.35">
      <c r="A13" s="56" t="s">
        <v>310</v>
      </c>
      <c r="B13" s="490" t="s">
        <v>311</v>
      </c>
      <c r="C13" s="490"/>
      <c r="D13" s="491"/>
      <c r="E13" s="57"/>
      <c r="F13" s="56"/>
      <c r="G13" s="56"/>
      <c r="H13" s="329"/>
      <c r="I13" s="56"/>
    </row>
    <row r="14" spans="1:9" ht="16" thickBot="1" x14ac:dyDescent="0.4">
      <c r="A14" s="492"/>
      <c r="B14" s="437" t="s">
        <v>312</v>
      </c>
      <c r="C14" s="438"/>
      <c r="D14" s="474"/>
      <c r="E14" s="251"/>
      <c r="F14" s="245"/>
      <c r="G14" s="8"/>
      <c r="H14" s="112"/>
      <c r="I14" s="267"/>
    </row>
    <row r="15" spans="1:9" ht="15.5" x14ac:dyDescent="0.35">
      <c r="A15" s="493"/>
      <c r="B15" s="494" t="s">
        <v>313</v>
      </c>
      <c r="C15" s="495"/>
      <c r="D15" s="496"/>
      <c r="E15" s="497"/>
      <c r="F15" s="435"/>
      <c r="G15" s="432"/>
      <c r="H15" s="367"/>
      <c r="I15" s="483"/>
    </row>
    <row r="16" spans="1:9" x14ac:dyDescent="0.35">
      <c r="A16" s="493"/>
      <c r="B16" s="486" t="s">
        <v>314</v>
      </c>
      <c r="C16" s="487"/>
      <c r="D16" s="449"/>
      <c r="E16" s="497"/>
      <c r="F16" s="435"/>
      <c r="G16" s="432"/>
      <c r="H16" s="367"/>
      <c r="I16" s="484"/>
    </row>
    <row r="17" spans="1:9" ht="55" x14ac:dyDescent="0.35">
      <c r="A17" s="493"/>
      <c r="B17" s="62" t="s">
        <v>315</v>
      </c>
      <c r="C17" s="63" t="s">
        <v>316</v>
      </c>
      <c r="D17" s="449"/>
      <c r="E17" s="497"/>
      <c r="F17" s="435"/>
      <c r="G17" s="432"/>
      <c r="H17" s="367"/>
      <c r="I17" s="484"/>
    </row>
    <row r="18" spans="1:9" ht="55" x14ac:dyDescent="0.35">
      <c r="A18" s="493"/>
      <c r="B18" s="64" t="s">
        <v>317</v>
      </c>
      <c r="C18" s="63" t="s">
        <v>318</v>
      </c>
      <c r="D18" s="449"/>
      <c r="E18" s="497"/>
      <c r="F18" s="435"/>
      <c r="G18" s="432"/>
      <c r="H18" s="367"/>
      <c r="I18" s="484"/>
    </row>
    <row r="19" spans="1:9" ht="15" thickBot="1" x14ac:dyDescent="0.4">
      <c r="A19" s="493"/>
      <c r="B19" s="488" t="s">
        <v>319</v>
      </c>
      <c r="C19" s="489"/>
      <c r="D19" s="450"/>
      <c r="E19" s="497"/>
      <c r="F19" s="435"/>
      <c r="G19" s="432"/>
      <c r="H19" s="367"/>
      <c r="I19" s="485"/>
    </row>
    <row r="20" spans="1:9" ht="15.5" x14ac:dyDescent="0.35">
      <c r="A20" s="493"/>
      <c r="B20" s="498" t="s">
        <v>320</v>
      </c>
      <c r="C20" s="499"/>
      <c r="D20" s="500"/>
      <c r="E20" s="77"/>
      <c r="F20" s="248" t="s">
        <v>79</v>
      </c>
      <c r="G20" s="240" t="s">
        <v>113</v>
      </c>
      <c r="H20" s="332">
        <f>IF(E20&gt;=80,1,0)</f>
        <v>0</v>
      </c>
      <c r="I20" s="79"/>
    </row>
    <row r="21" spans="1:9" ht="15.5" x14ac:dyDescent="0.35">
      <c r="A21" s="472" t="s">
        <v>321</v>
      </c>
      <c r="B21" s="472"/>
      <c r="C21" s="472"/>
      <c r="D21" s="472"/>
      <c r="E21" s="472"/>
      <c r="F21" s="472"/>
      <c r="G21" s="472"/>
      <c r="H21" s="331">
        <f>SUM(H14:H20)</f>
        <v>0</v>
      </c>
      <c r="I21" s="61"/>
    </row>
    <row r="22" spans="1:9" ht="15.5" x14ac:dyDescent="0.35">
      <c r="A22" s="56" t="s">
        <v>322</v>
      </c>
      <c r="B22" s="490" t="s">
        <v>323</v>
      </c>
      <c r="C22" s="490"/>
      <c r="D22" s="490"/>
      <c r="E22" s="57"/>
      <c r="F22" s="65"/>
      <c r="G22" s="56"/>
      <c r="H22" s="329"/>
      <c r="I22" s="56"/>
    </row>
    <row r="23" spans="1:9" ht="15.5" x14ac:dyDescent="0.35">
      <c r="A23" s="58" t="s">
        <v>324</v>
      </c>
      <c r="B23" s="473" t="s">
        <v>325</v>
      </c>
      <c r="C23" s="473"/>
      <c r="D23" s="473"/>
      <c r="E23" s="59"/>
      <c r="F23" s="66"/>
      <c r="G23" s="60"/>
      <c r="H23" s="330"/>
      <c r="I23" s="60"/>
    </row>
    <row r="24" spans="1:9" ht="15.5" x14ac:dyDescent="0.35">
      <c r="A24" s="422" t="s">
        <v>222</v>
      </c>
      <c r="B24" s="441" t="s">
        <v>326</v>
      </c>
      <c r="C24" s="441"/>
      <c r="D24" s="441"/>
      <c r="E24" s="251"/>
      <c r="F24" s="67"/>
      <c r="G24" s="6"/>
      <c r="H24" s="112"/>
      <c r="I24" s="80"/>
    </row>
    <row r="25" spans="1:9" ht="15.65" customHeight="1" x14ac:dyDescent="0.35">
      <c r="A25" s="423"/>
      <c r="B25" s="501" t="s">
        <v>514</v>
      </c>
      <c r="C25" s="441"/>
      <c r="D25" s="502"/>
      <c r="E25" s="77"/>
      <c r="F25" s="67" t="s">
        <v>70</v>
      </c>
      <c r="G25" s="374" t="s">
        <v>307</v>
      </c>
      <c r="H25" s="376">
        <f>IF(AND(E25="Y",E26="Y",E27&gt;=90),1,IF(AND(E25="Y",E26="Y",E27&gt;=50),0.5,0))</f>
        <v>0</v>
      </c>
      <c r="I25" s="80"/>
    </row>
    <row r="26" spans="1:9" ht="15.5" x14ac:dyDescent="0.35">
      <c r="A26" s="423"/>
      <c r="B26" s="501" t="s">
        <v>515</v>
      </c>
      <c r="C26" s="441"/>
      <c r="D26" s="502"/>
      <c r="E26" s="77"/>
      <c r="F26" s="67" t="s">
        <v>70</v>
      </c>
      <c r="G26" s="423"/>
      <c r="H26" s="404"/>
      <c r="I26" s="80"/>
    </row>
    <row r="27" spans="1:9" ht="15.5" x14ac:dyDescent="0.35">
      <c r="A27" s="424"/>
      <c r="B27" s="501" t="s">
        <v>327</v>
      </c>
      <c r="C27" s="441"/>
      <c r="D27" s="502"/>
      <c r="E27" s="77"/>
      <c r="F27" s="67" t="s">
        <v>79</v>
      </c>
      <c r="G27" s="424"/>
      <c r="H27" s="377"/>
      <c r="I27" s="80"/>
    </row>
    <row r="28" spans="1:9" ht="15.5" x14ac:dyDescent="0.35">
      <c r="A28" s="422" t="s">
        <v>224</v>
      </c>
      <c r="B28" s="503" t="s">
        <v>328</v>
      </c>
      <c r="C28" s="504"/>
      <c r="D28" s="505"/>
      <c r="E28" s="251"/>
      <c r="F28" s="67"/>
      <c r="G28" s="246"/>
      <c r="H28" s="333"/>
      <c r="I28" s="80"/>
    </row>
    <row r="29" spans="1:9" ht="15.5" x14ac:dyDescent="0.35">
      <c r="A29" s="423"/>
      <c r="B29" s="506" t="s">
        <v>536</v>
      </c>
      <c r="C29" s="504"/>
      <c r="D29" s="505"/>
      <c r="E29" s="77"/>
      <c r="F29" s="68" t="s">
        <v>73</v>
      </c>
      <c r="G29" s="6" t="s">
        <v>113</v>
      </c>
      <c r="H29" s="112">
        <f>IF(ISBLANK(E29),0,IF(AND(E29&lt;=0.5,E29&gt;=-0.5),1,0))</f>
        <v>0</v>
      </c>
      <c r="I29" s="80"/>
    </row>
    <row r="30" spans="1:9" ht="15.5" x14ac:dyDescent="0.35">
      <c r="A30" s="423"/>
      <c r="B30" s="506" t="s">
        <v>329</v>
      </c>
      <c r="C30" s="504"/>
      <c r="D30" s="505"/>
      <c r="E30" s="77"/>
      <c r="F30" s="68" t="s">
        <v>79</v>
      </c>
      <c r="G30" s="6" t="s">
        <v>113</v>
      </c>
      <c r="H30" s="112">
        <f>IF(E30&gt;=70,1,0)</f>
        <v>0</v>
      </c>
      <c r="I30" s="80"/>
    </row>
    <row r="31" spans="1:9" ht="15.5" x14ac:dyDescent="0.35">
      <c r="A31" s="423"/>
      <c r="B31" s="507" t="s">
        <v>330</v>
      </c>
      <c r="C31" s="507"/>
      <c r="D31" s="507"/>
      <c r="E31" s="69"/>
      <c r="F31" s="68"/>
      <c r="G31" s="6"/>
      <c r="H31" s="112"/>
      <c r="I31" s="80"/>
    </row>
    <row r="32" spans="1:9" ht="46.5" x14ac:dyDescent="0.35">
      <c r="A32" s="423"/>
      <c r="B32" s="508" t="s">
        <v>331</v>
      </c>
      <c r="C32" s="508"/>
      <c r="D32" s="508"/>
      <c r="E32" s="77"/>
      <c r="F32" s="68" t="s">
        <v>79</v>
      </c>
      <c r="G32" s="240" t="s">
        <v>332</v>
      </c>
      <c r="H32" s="112">
        <f>MIN(ROUNDDOWN(E32*0.01,1),0.5)</f>
        <v>0</v>
      </c>
      <c r="I32" s="80"/>
    </row>
    <row r="33" spans="1:9" ht="31" x14ac:dyDescent="0.35">
      <c r="A33" s="424"/>
      <c r="B33" s="509" t="s">
        <v>333</v>
      </c>
      <c r="C33" s="509"/>
      <c r="D33" s="509"/>
      <c r="E33" s="77"/>
      <c r="F33" s="68" t="s">
        <v>79</v>
      </c>
      <c r="G33" s="240" t="s">
        <v>307</v>
      </c>
      <c r="H33" s="112">
        <f>IF(E33&gt;=70,1,IF(E33&gt;=50,0.5,0))</f>
        <v>0</v>
      </c>
      <c r="I33" s="80"/>
    </row>
    <row r="34" spans="1:9" ht="15.5" x14ac:dyDescent="0.35">
      <c r="A34" s="472" t="s">
        <v>334</v>
      </c>
      <c r="B34" s="472"/>
      <c r="C34" s="472"/>
      <c r="D34" s="472"/>
      <c r="E34" s="472"/>
      <c r="F34" s="472"/>
      <c r="G34" s="472"/>
      <c r="H34" s="331">
        <f>SUM(H25,MAX(H29,H30,MIN(SUM(H32:H33),1)))</f>
        <v>0</v>
      </c>
      <c r="I34" s="61"/>
    </row>
    <row r="35" spans="1:9" ht="15.5" x14ac:dyDescent="0.35">
      <c r="A35" s="58" t="s">
        <v>335</v>
      </c>
      <c r="B35" s="510" t="s">
        <v>336</v>
      </c>
      <c r="C35" s="510"/>
      <c r="D35" s="510"/>
      <c r="E35" s="59"/>
      <c r="F35" s="58"/>
      <c r="G35" s="60"/>
      <c r="H35" s="330"/>
      <c r="I35" s="60"/>
    </row>
    <row r="36" spans="1:9" ht="31" x14ac:dyDescent="0.35">
      <c r="A36" s="238" t="s">
        <v>75</v>
      </c>
      <c r="B36" s="467" t="s">
        <v>337</v>
      </c>
      <c r="C36" s="467"/>
      <c r="D36" s="467"/>
      <c r="E36" s="77"/>
      <c r="F36" s="68" t="s">
        <v>341</v>
      </c>
      <c r="G36" s="240" t="s">
        <v>516</v>
      </c>
      <c r="H36" s="112">
        <f>IF(E36="A",1,IF(E36="B",2,0))</f>
        <v>0</v>
      </c>
      <c r="I36" s="80"/>
    </row>
    <row r="37" spans="1:9" ht="15.5" x14ac:dyDescent="0.35">
      <c r="A37" s="238" t="s">
        <v>77</v>
      </c>
      <c r="B37" s="467" t="s">
        <v>339</v>
      </c>
      <c r="C37" s="467"/>
      <c r="D37" s="467"/>
      <c r="E37" s="77"/>
      <c r="F37" s="68" t="s">
        <v>70</v>
      </c>
      <c r="G37" s="240" t="s">
        <v>258</v>
      </c>
      <c r="H37" s="112">
        <f>IF(E37="Y",0.5,0)</f>
        <v>0</v>
      </c>
      <c r="I37" s="80"/>
    </row>
    <row r="38" spans="1:9" ht="31" x14ac:dyDescent="0.35">
      <c r="A38" s="238" t="s">
        <v>80</v>
      </c>
      <c r="B38" s="467" t="s">
        <v>340</v>
      </c>
      <c r="C38" s="467"/>
      <c r="D38" s="467"/>
      <c r="E38" s="77"/>
      <c r="F38" s="68" t="s">
        <v>341</v>
      </c>
      <c r="G38" s="240" t="s">
        <v>342</v>
      </c>
      <c r="H38" s="112">
        <f>IF(E38="A",0.5,IF(E38="B",1,0))</f>
        <v>0</v>
      </c>
      <c r="I38" s="80"/>
    </row>
    <row r="39" spans="1:9" ht="15.5" x14ac:dyDescent="0.35">
      <c r="A39" s="472" t="s">
        <v>343</v>
      </c>
      <c r="B39" s="472"/>
      <c r="C39" s="472"/>
      <c r="D39" s="472"/>
      <c r="E39" s="472"/>
      <c r="F39" s="472"/>
      <c r="G39" s="472"/>
      <c r="H39" s="331">
        <f>SUM(H36:H38)</f>
        <v>0</v>
      </c>
      <c r="I39" s="61"/>
    </row>
    <row r="40" spans="1:9" ht="15.5" x14ac:dyDescent="0.35">
      <c r="A40" s="58" t="s">
        <v>344</v>
      </c>
      <c r="B40" s="510" t="s">
        <v>345</v>
      </c>
      <c r="C40" s="510"/>
      <c r="D40" s="510"/>
      <c r="E40" s="59"/>
      <c r="F40" s="58"/>
      <c r="G40" s="60"/>
      <c r="H40" s="330"/>
      <c r="I40" s="60"/>
    </row>
    <row r="41" spans="1:9" ht="15.5" x14ac:dyDescent="0.35">
      <c r="A41" s="238" t="s">
        <v>75</v>
      </c>
      <c r="B41" s="511" t="s">
        <v>346</v>
      </c>
      <c r="C41" s="511"/>
      <c r="D41" s="511"/>
      <c r="E41" s="77"/>
      <c r="F41" s="68" t="s">
        <v>70</v>
      </c>
      <c r="G41" s="240" t="s">
        <v>258</v>
      </c>
      <c r="H41" s="112">
        <f>IF(E41="Y",0.5,0)</f>
        <v>0</v>
      </c>
      <c r="I41" s="80"/>
    </row>
    <row r="42" spans="1:9" ht="15.5" x14ac:dyDescent="0.35">
      <c r="A42" s="238" t="s">
        <v>77</v>
      </c>
      <c r="B42" s="467" t="s">
        <v>347</v>
      </c>
      <c r="C42" s="467"/>
      <c r="D42" s="467"/>
      <c r="E42" s="77"/>
      <c r="F42" s="68" t="s">
        <v>70</v>
      </c>
      <c r="G42" s="240" t="s">
        <v>113</v>
      </c>
      <c r="H42" s="112">
        <f>IF(E42="Y",1,0)</f>
        <v>0</v>
      </c>
      <c r="I42" s="80"/>
    </row>
    <row r="43" spans="1:9" ht="15.5" x14ac:dyDescent="0.35">
      <c r="A43" s="472" t="s">
        <v>348</v>
      </c>
      <c r="B43" s="472"/>
      <c r="C43" s="472"/>
      <c r="D43" s="472"/>
      <c r="E43" s="472"/>
      <c r="F43" s="472"/>
      <c r="G43" s="472"/>
      <c r="H43" s="331">
        <f>SUM(H41:H42)</f>
        <v>0</v>
      </c>
      <c r="I43" s="61"/>
    </row>
    <row r="44" spans="1:9" ht="15.5" x14ac:dyDescent="0.35">
      <c r="A44" s="53" t="s">
        <v>349</v>
      </c>
      <c r="B44" s="512" t="s">
        <v>350</v>
      </c>
      <c r="C44" s="512"/>
      <c r="D44" s="512"/>
      <c r="E44" s="512"/>
      <c r="F44" s="512"/>
      <c r="G44" s="53">
        <v>5</v>
      </c>
      <c r="H44" s="334">
        <f>MIN(SUM(H51,H57,H61,H68),5)</f>
        <v>0</v>
      </c>
      <c r="I44" s="70"/>
    </row>
    <row r="45" spans="1:9" ht="15.5" x14ac:dyDescent="0.35">
      <c r="A45" s="56" t="s">
        <v>351</v>
      </c>
      <c r="B45" s="513" t="s">
        <v>352</v>
      </c>
      <c r="C45" s="514"/>
      <c r="D45" s="514"/>
      <c r="E45" s="57"/>
      <c r="F45" s="56"/>
      <c r="G45" s="56">
        <v>5</v>
      </c>
      <c r="H45" s="329"/>
      <c r="I45" s="56"/>
    </row>
    <row r="46" spans="1:9" ht="15.5" x14ac:dyDescent="0.35">
      <c r="A46" s="71"/>
      <c r="B46" s="463" t="s">
        <v>353</v>
      </c>
      <c r="C46" s="463"/>
      <c r="D46" s="463"/>
      <c r="E46" s="251"/>
      <c r="F46" s="68"/>
      <c r="G46" s="240"/>
      <c r="H46" s="112"/>
      <c r="I46" s="80"/>
    </row>
    <row r="47" spans="1:9" ht="15.5" x14ac:dyDescent="0.35">
      <c r="A47" s="238" t="s">
        <v>75</v>
      </c>
      <c r="B47" s="467" t="s">
        <v>354</v>
      </c>
      <c r="C47" s="467"/>
      <c r="D47" s="467"/>
      <c r="E47" s="77"/>
      <c r="F47" s="68" t="s">
        <v>70</v>
      </c>
      <c r="G47" s="240" t="s">
        <v>113</v>
      </c>
      <c r="H47" s="112">
        <f>IF(E47="Y",1,0)</f>
        <v>0</v>
      </c>
      <c r="I47" s="80"/>
    </row>
    <row r="48" spans="1:9" ht="15.5" x14ac:dyDescent="0.35">
      <c r="A48" s="238" t="s">
        <v>77</v>
      </c>
      <c r="B48" s="467" t="s">
        <v>355</v>
      </c>
      <c r="C48" s="467"/>
      <c r="D48" s="467"/>
      <c r="E48" s="77"/>
      <c r="F48" s="68" t="s">
        <v>70</v>
      </c>
      <c r="G48" s="240" t="s">
        <v>113</v>
      </c>
      <c r="H48" s="112">
        <f>IF(E48="Y",1,0)</f>
        <v>0</v>
      </c>
      <c r="I48" s="80"/>
    </row>
    <row r="49" spans="1:9" ht="15.5" x14ac:dyDescent="0.35">
      <c r="A49" s="238" t="s">
        <v>80</v>
      </c>
      <c r="B49" s="467" t="s">
        <v>356</v>
      </c>
      <c r="C49" s="467"/>
      <c r="D49" s="467"/>
      <c r="E49" s="77"/>
      <c r="F49" s="68" t="s">
        <v>70</v>
      </c>
      <c r="G49" s="240" t="s">
        <v>258</v>
      </c>
      <c r="H49" s="112">
        <f>IF(E49="Y",0.5,0)</f>
        <v>0</v>
      </c>
      <c r="I49" s="80"/>
    </row>
    <row r="50" spans="1:9" ht="15.5" x14ac:dyDescent="0.35">
      <c r="A50" s="238" t="s">
        <v>85</v>
      </c>
      <c r="B50" s="467" t="s">
        <v>357</v>
      </c>
      <c r="C50" s="467"/>
      <c r="D50" s="467"/>
      <c r="E50" s="77"/>
      <c r="F50" s="68" t="s">
        <v>70</v>
      </c>
      <c r="G50" s="240" t="s">
        <v>258</v>
      </c>
      <c r="H50" s="112">
        <f>IF(E50="Y",0.5,0)</f>
        <v>0</v>
      </c>
      <c r="I50" s="80"/>
    </row>
    <row r="51" spans="1:9" ht="15.5" x14ac:dyDescent="0.35">
      <c r="A51" s="472" t="s">
        <v>358</v>
      </c>
      <c r="B51" s="472"/>
      <c r="C51" s="472"/>
      <c r="D51" s="472"/>
      <c r="E51" s="472"/>
      <c r="F51" s="472"/>
      <c r="G51" s="472"/>
      <c r="H51" s="331">
        <f>SUM(H47:H50)</f>
        <v>0</v>
      </c>
      <c r="I51" s="61"/>
    </row>
    <row r="52" spans="1:9" ht="15.5" x14ac:dyDescent="0.35">
      <c r="A52" s="56" t="s">
        <v>359</v>
      </c>
      <c r="B52" s="513" t="s">
        <v>360</v>
      </c>
      <c r="C52" s="514"/>
      <c r="D52" s="514"/>
      <c r="E52" s="57"/>
      <c r="F52" s="56"/>
      <c r="G52" s="56"/>
      <c r="H52" s="329"/>
      <c r="I52" s="56"/>
    </row>
    <row r="53" spans="1:9" ht="15.5" x14ac:dyDescent="0.35">
      <c r="A53" s="238"/>
      <c r="B53" s="467" t="s">
        <v>361</v>
      </c>
      <c r="C53" s="467"/>
      <c r="D53" s="467"/>
      <c r="E53" s="251"/>
      <c r="F53" s="248"/>
      <c r="G53" s="6"/>
      <c r="H53" s="112"/>
      <c r="I53" s="47"/>
    </row>
    <row r="54" spans="1:9" ht="94" customHeight="1" x14ac:dyDescent="0.35">
      <c r="A54" s="238" t="s">
        <v>75</v>
      </c>
      <c r="B54" s="467" t="s">
        <v>534</v>
      </c>
      <c r="C54" s="467"/>
      <c r="D54" s="467"/>
      <c r="E54" s="77"/>
      <c r="F54" s="68" t="s">
        <v>341</v>
      </c>
      <c r="G54" s="240" t="s">
        <v>307</v>
      </c>
      <c r="H54" s="112">
        <f>IF(E54="A",0.5,IF(E54="B",1,0))</f>
        <v>0</v>
      </c>
      <c r="I54" s="47"/>
    </row>
    <row r="55" spans="1:9" ht="15.5" x14ac:dyDescent="0.35">
      <c r="A55" s="238" t="s">
        <v>77</v>
      </c>
      <c r="B55" s="467" t="s">
        <v>362</v>
      </c>
      <c r="C55" s="467"/>
      <c r="D55" s="467"/>
      <c r="E55" s="77"/>
      <c r="F55" s="248" t="s">
        <v>70</v>
      </c>
      <c r="G55" s="6" t="s">
        <v>258</v>
      </c>
      <c r="H55" s="112">
        <f>IF(E55="Y",0.5,0)</f>
        <v>0</v>
      </c>
      <c r="I55" s="47"/>
    </row>
    <row r="56" spans="1:9" ht="31" x14ac:dyDescent="0.35">
      <c r="A56" s="238" t="s">
        <v>80</v>
      </c>
      <c r="B56" s="467" t="s">
        <v>363</v>
      </c>
      <c r="C56" s="467"/>
      <c r="D56" s="467"/>
      <c r="E56" s="77"/>
      <c r="F56" s="248" t="s">
        <v>341</v>
      </c>
      <c r="G56" s="240" t="s">
        <v>338</v>
      </c>
      <c r="H56" s="112">
        <f>IF(E56="A",1,IF(E56="B",2,0))</f>
        <v>0</v>
      </c>
      <c r="I56" s="47"/>
    </row>
    <row r="57" spans="1:9" ht="15.5" x14ac:dyDescent="0.35">
      <c r="A57" s="472" t="s">
        <v>364</v>
      </c>
      <c r="B57" s="472"/>
      <c r="C57" s="472"/>
      <c r="D57" s="472"/>
      <c r="E57" s="472"/>
      <c r="F57" s="472"/>
      <c r="G57" s="472"/>
      <c r="H57" s="331">
        <f>SUM(H54:H56)</f>
        <v>0</v>
      </c>
      <c r="I57" s="61"/>
    </row>
    <row r="58" spans="1:9" ht="15.5" x14ac:dyDescent="0.35">
      <c r="A58" s="56" t="s">
        <v>365</v>
      </c>
      <c r="B58" s="513" t="s">
        <v>366</v>
      </c>
      <c r="C58" s="514"/>
      <c r="D58" s="514"/>
      <c r="E58" s="57"/>
      <c r="F58" s="56"/>
      <c r="G58" s="56"/>
      <c r="H58" s="329"/>
      <c r="I58" s="56"/>
    </row>
    <row r="59" spans="1:9" ht="15.5" x14ac:dyDescent="0.35">
      <c r="A59" s="58" t="s">
        <v>367</v>
      </c>
      <c r="B59" s="510" t="s">
        <v>368</v>
      </c>
      <c r="C59" s="510"/>
      <c r="D59" s="510"/>
      <c r="E59" s="59"/>
      <c r="F59" s="58"/>
      <c r="G59" s="60"/>
      <c r="H59" s="330"/>
      <c r="I59" s="60"/>
    </row>
    <row r="60" spans="1:9" ht="15.5" x14ac:dyDescent="0.35">
      <c r="A60" s="238"/>
      <c r="B60" s="467" t="s">
        <v>369</v>
      </c>
      <c r="C60" s="467"/>
      <c r="D60" s="467"/>
      <c r="E60" s="77"/>
      <c r="F60" s="248" t="s">
        <v>70</v>
      </c>
      <c r="G60" s="240" t="s">
        <v>258</v>
      </c>
      <c r="H60" s="112">
        <f>IF(E60="Y",0.5,0)</f>
        <v>0</v>
      </c>
      <c r="I60" s="47"/>
    </row>
    <row r="61" spans="1:9" ht="15.5" x14ac:dyDescent="0.35">
      <c r="A61" s="472" t="s">
        <v>370</v>
      </c>
      <c r="B61" s="472"/>
      <c r="C61" s="472"/>
      <c r="D61" s="472"/>
      <c r="E61" s="472"/>
      <c r="F61" s="472"/>
      <c r="G61" s="472"/>
      <c r="H61" s="331">
        <f>H60</f>
        <v>0</v>
      </c>
      <c r="I61" s="61"/>
    </row>
    <row r="62" spans="1:9" ht="15.5" x14ac:dyDescent="0.35">
      <c r="A62" s="58" t="s">
        <v>371</v>
      </c>
      <c r="B62" s="510" t="s">
        <v>372</v>
      </c>
      <c r="C62" s="510"/>
      <c r="D62" s="510"/>
      <c r="E62" s="59"/>
      <c r="F62" s="58" t="s">
        <v>79</v>
      </c>
      <c r="G62" s="60"/>
      <c r="H62" s="330"/>
      <c r="I62" s="60"/>
    </row>
    <row r="63" spans="1:9" ht="15.5" x14ac:dyDescent="0.35">
      <c r="A63" s="238"/>
      <c r="B63" s="467" t="s">
        <v>373</v>
      </c>
      <c r="C63" s="515"/>
      <c r="D63" s="515"/>
      <c r="E63" s="251"/>
      <c r="F63" s="248"/>
      <c r="G63" s="240"/>
      <c r="H63" s="112"/>
      <c r="I63" s="47"/>
    </row>
    <row r="64" spans="1:9" ht="15.5" x14ac:dyDescent="0.35">
      <c r="A64" s="238" t="s">
        <v>75</v>
      </c>
      <c r="B64" s="467" t="s">
        <v>374</v>
      </c>
      <c r="C64" s="515"/>
      <c r="D64" s="515"/>
      <c r="E64" s="251" t="s">
        <v>141</v>
      </c>
      <c r="F64" s="248" t="s">
        <v>141</v>
      </c>
      <c r="G64" s="240" t="s">
        <v>141</v>
      </c>
      <c r="H64" s="112" t="s">
        <v>141</v>
      </c>
      <c r="I64" s="47"/>
    </row>
    <row r="65" spans="1:9" ht="15.5" x14ac:dyDescent="0.35">
      <c r="A65" s="238" t="s">
        <v>77</v>
      </c>
      <c r="B65" s="467" t="s">
        <v>517</v>
      </c>
      <c r="C65" s="515"/>
      <c r="D65" s="515"/>
      <c r="E65" s="77"/>
      <c r="F65" s="248" t="s">
        <v>70</v>
      </c>
      <c r="G65" s="240" t="s">
        <v>258</v>
      </c>
      <c r="H65" s="112">
        <f>IF(E65="Y",0.5,0)</f>
        <v>0</v>
      </c>
      <c r="I65" s="47"/>
    </row>
    <row r="66" spans="1:9" ht="15.5" x14ac:dyDescent="0.35">
      <c r="A66" s="238" t="s">
        <v>80</v>
      </c>
      <c r="B66" s="467" t="s">
        <v>375</v>
      </c>
      <c r="C66" s="515"/>
      <c r="D66" s="515"/>
      <c r="E66" s="77"/>
      <c r="F66" s="248" t="s">
        <v>70</v>
      </c>
      <c r="G66" s="240" t="s">
        <v>258</v>
      </c>
      <c r="H66" s="112">
        <f>IF(E66="Y",0.5,0)</f>
        <v>0</v>
      </c>
      <c r="I66" s="47"/>
    </row>
    <row r="67" spans="1:9" ht="15.5" x14ac:dyDescent="0.35">
      <c r="A67" s="238" t="s">
        <v>85</v>
      </c>
      <c r="B67" s="467" t="s">
        <v>376</v>
      </c>
      <c r="C67" s="515"/>
      <c r="D67" s="515"/>
      <c r="E67" s="77"/>
      <c r="F67" s="248" t="s">
        <v>70</v>
      </c>
      <c r="G67" s="240" t="s">
        <v>113</v>
      </c>
      <c r="H67" s="112">
        <f>IF(E67="Y",1,0)</f>
        <v>0</v>
      </c>
      <c r="I67" s="47"/>
    </row>
    <row r="68" spans="1:9" ht="15.5" x14ac:dyDescent="0.35">
      <c r="A68" s="472" t="s">
        <v>377</v>
      </c>
      <c r="B68" s="472"/>
      <c r="C68" s="472"/>
      <c r="D68" s="472"/>
      <c r="E68" s="472"/>
      <c r="F68" s="472"/>
      <c r="G68" s="472"/>
      <c r="H68" s="331">
        <f>SUM(H65:H67)</f>
        <v>0</v>
      </c>
      <c r="I68" s="61"/>
    </row>
    <row r="69" spans="1:9" ht="15.5" x14ac:dyDescent="0.35">
      <c r="A69" s="53" t="s">
        <v>378</v>
      </c>
      <c r="B69" s="512" t="s">
        <v>379</v>
      </c>
      <c r="C69" s="512"/>
      <c r="D69" s="512"/>
      <c r="E69" s="512"/>
      <c r="F69" s="512"/>
      <c r="G69" s="53">
        <v>5</v>
      </c>
      <c r="H69" s="334">
        <f>MIN(SUM(H72,H78,H81,H85,H91),5)</f>
        <v>0</v>
      </c>
      <c r="I69" s="70"/>
    </row>
    <row r="70" spans="1:9" ht="15.5" x14ac:dyDescent="0.35">
      <c r="A70" s="56" t="s">
        <v>380</v>
      </c>
      <c r="B70" s="513" t="s">
        <v>381</v>
      </c>
      <c r="C70" s="514"/>
      <c r="D70" s="514"/>
      <c r="E70" s="57"/>
      <c r="F70" s="56" t="s">
        <v>73</v>
      </c>
      <c r="G70" s="56" t="s">
        <v>141</v>
      </c>
      <c r="H70" s="329"/>
      <c r="I70" s="56"/>
    </row>
    <row r="71" spans="1:9" ht="31" x14ac:dyDescent="0.35">
      <c r="A71" s="238"/>
      <c r="B71" s="515" t="s">
        <v>382</v>
      </c>
      <c r="C71" s="515"/>
      <c r="D71" s="515"/>
      <c r="E71" s="77"/>
      <c r="F71" s="248" t="s">
        <v>341</v>
      </c>
      <c r="G71" s="240" t="s">
        <v>516</v>
      </c>
      <c r="H71" s="112">
        <f>IF(E71="A",1,IF(E71="B",2,0))</f>
        <v>0</v>
      </c>
      <c r="I71" s="47"/>
    </row>
    <row r="72" spans="1:9" ht="15.5" x14ac:dyDescent="0.35">
      <c r="A72" s="472" t="s">
        <v>383</v>
      </c>
      <c r="B72" s="472"/>
      <c r="C72" s="472"/>
      <c r="D72" s="472"/>
      <c r="E72" s="472"/>
      <c r="F72" s="472"/>
      <c r="G72" s="472"/>
      <c r="H72" s="331">
        <f>H71</f>
        <v>0</v>
      </c>
      <c r="I72" s="61"/>
    </row>
    <row r="73" spans="1:9" ht="15.5" x14ac:dyDescent="0.35">
      <c r="A73" s="56" t="s">
        <v>384</v>
      </c>
      <c r="B73" s="513" t="s">
        <v>385</v>
      </c>
      <c r="C73" s="514"/>
      <c r="D73" s="514"/>
      <c r="E73" s="57"/>
      <c r="F73" s="56"/>
      <c r="G73" s="56"/>
      <c r="H73" s="329"/>
      <c r="I73" s="56"/>
    </row>
    <row r="74" spans="1:9" ht="15.5" x14ac:dyDescent="0.35">
      <c r="A74" s="58" t="s">
        <v>386</v>
      </c>
      <c r="B74" s="510" t="s">
        <v>518</v>
      </c>
      <c r="C74" s="510"/>
      <c r="D74" s="510"/>
      <c r="E74" s="59"/>
      <c r="F74" s="58"/>
      <c r="G74" s="60"/>
      <c r="H74" s="330"/>
      <c r="I74" s="60"/>
    </row>
    <row r="75" spans="1:9" ht="15.5" x14ac:dyDescent="0.35">
      <c r="A75" s="238"/>
      <c r="B75" s="467" t="s">
        <v>387</v>
      </c>
      <c r="C75" s="467"/>
      <c r="D75" s="467"/>
      <c r="E75" s="251"/>
      <c r="F75" s="248"/>
      <c r="G75" s="72"/>
      <c r="H75" s="326"/>
      <c r="I75" s="50"/>
    </row>
    <row r="76" spans="1:9" ht="15.5" x14ac:dyDescent="0.35">
      <c r="A76" s="238" t="s">
        <v>75</v>
      </c>
      <c r="B76" s="467" t="s">
        <v>388</v>
      </c>
      <c r="C76" s="467"/>
      <c r="D76" s="467"/>
      <c r="E76" s="77"/>
      <c r="F76" s="248" t="s">
        <v>70</v>
      </c>
      <c r="G76" s="240" t="s">
        <v>169</v>
      </c>
      <c r="H76" s="112">
        <f>IF(E76="Y",0.5,0)</f>
        <v>0</v>
      </c>
      <c r="I76" s="50"/>
    </row>
    <row r="77" spans="1:9" ht="15.5" x14ac:dyDescent="0.35">
      <c r="A77" s="238" t="s">
        <v>77</v>
      </c>
      <c r="B77" s="467" t="s">
        <v>389</v>
      </c>
      <c r="C77" s="467"/>
      <c r="D77" s="467"/>
      <c r="E77" s="77"/>
      <c r="F77" s="248" t="s">
        <v>70</v>
      </c>
      <c r="G77" s="240" t="s">
        <v>113</v>
      </c>
      <c r="H77" s="112">
        <f>IF(E77="Y",1,0)</f>
        <v>0</v>
      </c>
      <c r="I77" s="50"/>
    </row>
    <row r="78" spans="1:9" ht="15.5" x14ac:dyDescent="0.35">
      <c r="A78" s="472" t="s">
        <v>390</v>
      </c>
      <c r="B78" s="472"/>
      <c r="C78" s="472"/>
      <c r="D78" s="472"/>
      <c r="E78" s="472"/>
      <c r="F78" s="472"/>
      <c r="G78" s="472"/>
      <c r="H78" s="331">
        <f>SUM(H76:H77)</f>
        <v>0</v>
      </c>
      <c r="I78" s="61"/>
    </row>
    <row r="79" spans="1:9" ht="15.5" x14ac:dyDescent="0.35">
      <c r="A79" s="58" t="s">
        <v>391</v>
      </c>
      <c r="B79" s="510" t="s">
        <v>392</v>
      </c>
      <c r="C79" s="510"/>
      <c r="D79" s="510"/>
      <c r="E79" s="59"/>
      <c r="F79" s="58"/>
      <c r="G79" s="60"/>
      <c r="H79" s="330"/>
      <c r="I79" s="60"/>
    </row>
    <row r="80" spans="1:9" ht="15.5" x14ac:dyDescent="0.35">
      <c r="A80" s="238"/>
      <c r="B80" s="467" t="s">
        <v>519</v>
      </c>
      <c r="C80" s="467"/>
      <c r="D80" s="467"/>
      <c r="E80" s="77"/>
      <c r="F80" s="248" t="s">
        <v>70</v>
      </c>
      <c r="G80" s="240" t="s">
        <v>113</v>
      </c>
      <c r="H80" s="112">
        <f>IF(E80="Y",1,0)</f>
        <v>0</v>
      </c>
      <c r="I80" s="50"/>
    </row>
    <row r="81" spans="1:9" ht="15.5" x14ac:dyDescent="0.35">
      <c r="A81" s="472" t="s">
        <v>393</v>
      </c>
      <c r="B81" s="472"/>
      <c r="C81" s="472"/>
      <c r="D81" s="472"/>
      <c r="E81" s="472"/>
      <c r="F81" s="472"/>
      <c r="G81" s="472"/>
      <c r="H81" s="331">
        <f>SUM(H79:H80)</f>
        <v>0</v>
      </c>
      <c r="I81" s="61"/>
    </row>
    <row r="82" spans="1:9" ht="15.5" x14ac:dyDescent="0.35">
      <c r="A82" s="56" t="s">
        <v>394</v>
      </c>
      <c r="B82" s="513" t="s">
        <v>395</v>
      </c>
      <c r="C82" s="514"/>
      <c r="D82" s="514"/>
      <c r="E82" s="57"/>
      <c r="F82" s="56"/>
      <c r="G82" s="56"/>
      <c r="H82" s="329"/>
      <c r="I82" s="56"/>
    </row>
    <row r="83" spans="1:9" ht="15.5" x14ac:dyDescent="0.35">
      <c r="A83" s="58" t="s">
        <v>396</v>
      </c>
      <c r="B83" s="510" t="s">
        <v>397</v>
      </c>
      <c r="C83" s="510"/>
      <c r="D83" s="510"/>
      <c r="E83" s="59"/>
      <c r="F83" s="58"/>
      <c r="G83" s="60"/>
      <c r="H83" s="330"/>
      <c r="I83" s="60"/>
    </row>
    <row r="84" spans="1:9" ht="15.5" x14ac:dyDescent="0.35">
      <c r="A84" s="247" t="s">
        <v>75</v>
      </c>
      <c r="B84" s="467" t="s">
        <v>398</v>
      </c>
      <c r="C84" s="467"/>
      <c r="D84" s="467"/>
      <c r="E84" s="77"/>
      <c r="F84" s="68" t="s">
        <v>70</v>
      </c>
      <c r="G84" s="240" t="s">
        <v>258</v>
      </c>
      <c r="H84" s="112">
        <f>IF(E84="Y",0.5,0)</f>
        <v>0</v>
      </c>
      <c r="I84" s="47"/>
    </row>
    <row r="85" spans="1:9" ht="15.5" x14ac:dyDescent="0.35">
      <c r="A85" s="472" t="s">
        <v>399</v>
      </c>
      <c r="B85" s="472"/>
      <c r="C85" s="472"/>
      <c r="D85" s="472"/>
      <c r="E85" s="472"/>
      <c r="F85" s="472"/>
      <c r="G85" s="472"/>
      <c r="H85" s="331">
        <f>H84</f>
        <v>0</v>
      </c>
      <c r="I85" s="61"/>
    </row>
    <row r="86" spans="1:9" ht="15.5" x14ac:dyDescent="0.35">
      <c r="A86" s="58" t="s">
        <v>400</v>
      </c>
      <c r="B86" s="510" t="s">
        <v>401</v>
      </c>
      <c r="C86" s="510"/>
      <c r="D86" s="510"/>
      <c r="E86" s="59"/>
      <c r="F86" s="58"/>
      <c r="G86" s="60"/>
      <c r="H86" s="330"/>
      <c r="I86" s="60"/>
    </row>
    <row r="87" spans="1:9" ht="15.5" x14ac:dyDescent="0.35">
      <c r="A87" s="247"/>
      <c r="B87" s="467" t="s">
        <v>402</v>
      </c>
      <c r="C87" s="467"/>
      <c r="D87" s="467"/>
      <c r="E87" s="251"/>
      <c r="F87" s="68"/>
      <c r="G87" s="240"/>
      <c r="H87" s="296"/>
      <c r="I87" s="47"/>
    </row>
    <row r="88" spans="1:9" ht="15.5" x14ac:dyDescent="0.35">
      <c r="A88" s="6" t="s">
        <v>75</v>
      </c>
      <c r="B88" s="467" t="s">
        <v>403</v>
      </c>
      <c r="C88" s="467"/>
      <c r="D88" s="467"/>
      <c r="E88" s="77"/>
      <c r="F88" s="68" t="s">
        <v>70</v>
      </c>
      <c r="G88" s="240" t="s">
        <v>258</v>
      </c>
      <c r="H88" s="112">
        <f>IF(E88="Y",0.5,0)</f>
        <v>0</v>
      </c>
      <c r="I88" s="47"/>
    </row>
    <row r="89" spans="1:9" ht="15.5" x14ac:dyDescent="0.35">
      <c r="A89" s="247" t="s">
        <v>77</v>
      </c>
      <c r="B89" s="467" t="s">
        <v>404</v>
      </c>
      <c r="C89" s="467"/>
      <c r="D89" s="467"/>
      <c r="E89" s="77"/>
      <c r="F89" s="68" t="s">
        <v>70</v>
      </c>
      <c r="G89" s="240" t="s">
        <v>258</v>
      </c>
      <c r="H89" s="112">
        <f>IF(E89="Y",0.5,0)</f>
        <v>0</v>
      </c>
      <c r="I89" s="47"/>
    </row>
    <row r="90" spans="1:9" ht="15.5" x14ac:dyDescent="0.35">
      <c r="A90" s="247" t="s">
        <v>80</v>
      </c>
      <c r="B90" s="467" t="s">
        <v>405</v>
      </c>
      <c r="C90" s="467"/>
      <c r="D90" s="467"/>
      <c r="E90" s="77"/>
      <c r="F90" s="68" t="s">
        <v>70</v>
      </c>
      <c r="G90" s="240" t="s">
        <v>258</v>
      </c>
      <c r="H90" s="112">
        <f>IF(E90="Y",0.5,0)</f>
        <v>0</v>
      </c>
      <c r="I90" s="47"/>
    </row>
    <row r="91" spans="1:9" ht="15.5" x14ac:dyDescent="0.35">
      <c r="A91" s="472" t="s">
        <v>406</v>
      </c>
      <c r="B91" s="472"/>
      <c r="C91" s="472"/>
      <c r="D91" s="472"/>
      <c r="E91" s="472"/>
      <c r="F91" s="472"/>
      <c r="G91" s="472"/>
      <c r="H91" s="331">
        <f>SUM(H88:H90)</f>
        <v>0</v>
      </c>
      <c r="I91" s="61"/>
    </row>
    <row r="92" spans="1:9" ht="15.5" x14ac:dyDescent="0.35">
      <c r="A92" s="53"/>
      <c r="B92" s="512" t="s">
        <v>293</v>
      </c>
      <c r="C92" s="512"/>
      <c r="D92" s="512"/>
      <c r="E92" s="512"/>
      <c r="F92" s="512"/>
      <c r="G92" s="53">
        <v>2</v>
      </c>
      <c r="H92" s="334">
        <f>MIN(SUM(H94:H95),2)</f>
        <v>0</v>
      </c>
      <c r="I92" s="70"/>
    </row>
    <row r="93" spans="1:9" ht="62" x14ac:dyDescent="0.35">
      <c r="A93" s="58"/>
      <c r="B93" s="516" t="s">
        <v>407</v>
      </c>
      <c r="C93" s="516"/>
      <c r="D93" s="516"/>
      <c r="E93" s="73"/>
      <c r="F93" s="58"/>
      <c r="G93" s="73" t="s">
        <v>198</v>
      </c>
      <c r="H93" s="330"/>
      <c r="I93" s="250" t="s">
        <v>199</v>
      </c>
    </row>
    <row r="94" spans="1:9" ht="31" x14ac:dyDescent="0.35">
      <c r="A94" s="247"/>
      <c r="B94" s="467" t="s">
        <v>408</v>
      </c>
      <c r="C94" s="467"/>
      <c r="D94" s="467"/>
      <c r="E94" s="77"/>
      <c r="F94" s="74" t="s">
        <v>73</v>
      </c>
      <c r="G94" s="366" t="s">
        <v>409</v>
      </c>
      <c r="H94" s="296">
        <f>E94</f>
        <v>0</v>
      </c>
      <c r="I94" s="81" t="s">
        <v>201</v>
      </c>
    </row>
    <row r="95" spans="1:9" ht="31" x14ac:dyDescent="0.35">
      <c r="A95" s="75"/>
      <c r="B95" s="467"/>
      <c r="C95" s="467"/>
      <c r="D95" s="467"/>
      <c r="E95" s="77"/>
      <c r="F95" s="74" t="s">
        <v>73</v>
      </c>
      <c r="G95" s="366"/>
      <c r="H95" s="296">
        <f>E95</f>
        <v>0</v>
      </c>
      <c r="I95" s="81" t="s">
        <v>202</v>
      </c>
    </row>
  </sheetData>
  <sheetProtection algorithmName="SHA-512" hashValue="dQLGmm7d92IU+wxsmCIFw44En3jYDtIMDizJ03ydqVFN4BqECFthJyGJbv3NLaKVA0E+Hq10wv8klV2D/xU6QA==" saltValue="y+foPRJga3A1y6jUQZLwrw==" spinCount="100000" sheet="1" formatCells="0" selectLockedCells="1"/>
  <mergeCells count="104">
    <mergeCell ref="B94:D95"/>
    <mergeCell ref="G94:G95"/>
    <mergeCell ref="B88:D88"/>
    <mergeCell ref="B89:D89"/>
    <mergeCell ref="B90:D90"/>
    <mergeCell ref="A91:G91"/>
    <mergeCell ref="B92:F92"/>
    <mergeCell ref="B93:D93"/>
    <mergeCell ref="B82:D82"/>
    <mergeCell ref="B83:D83"/>
    <mergeCell ref="B84:D84"/>
    <mergeCell ref="A85:G85"/>
    <mergeCell ref="B86:D86"/>
    <mergeCell ref="B87:D87"/>
    <mergeCell ref="B76:D76"/>
    <mergeCell ref="B77:D77"/>
    <mergeCell ref="A78:G78"/>
    <mergeCell ref="B79:D79"/>
    <mergeCell ref="B80:D80"/>
    <mergeCell ref="A81:G81"/>
    <mergeCell ref="B70:D70"/>
    <mergeCell ref="B71:D71"/>
    <mergeCell ref="A72:G72"/>
    <mergeCell ref="B73:D73"/>
    <mergeCell ref="B74:D74"/>
    <mergeCell ref="B75:D75"/>
    <mergeCell ref="B64:D64"/>
    <mergeCell ref="B65:D65"/>
    <mergeCell ref="B66:D66"/>
    <mergeCell ref="B67:D67"/>
    <mergeCell ref="A68:G68"/>
    <mergeCell ref="B69:F69"/>
    <mergeCell ref="B58:D58"/>
    <mergeCell ref="B59:D59"/>
    <mergeCell ref="B60:D60"/>
    <mergeCell ref="A61:G61"/>
    <mergeCell ref="B62:D62"/>
    <mergeCell ref="B63:D63"/>
    <mergeCell ref="B52:D52"/>
    <mergeCell ref="B53:D53"/>
    <mergeCell ref="B54:D54"/>
    <mergeCell ref="B55:D55"/>
    <mergeCell ref="B56:D56"/>
    <mergeCell ref="A57:G57"/>
    <mergeCell ref="B46:D46"/>
    <mergeCell ref="B47:D47"/>
    <mergeCell ref="B48:D48"/>
    <mergeCell ref="B49:D49"/>
    <mergeCell ref="B50:D50"/>
    <mergeCell ref="A51:G51"/>
    <mergeCell ref="B40:D40"/>
    <mergeCell ref="B41:D41"/>
    <mergeCell ref="B42:D42"/>
    <mergeCell ref="A43:G43"/>
    <mergeCell ref="B44:F44"/>
    <mergeCell ref="B45:D45"/>
    <mergeCell ref="A34:G34"/>
    <mergeCell ref="B35:D35"/>
    <mergeCell ref="B36:D36"/>
    <mergeCell ref="B37:D37"/>
    <mergeCell ref="B38:D38"/>
    <mergeCell ref="A39:G39"/>
    <mergeCell ref="H25:H27"/>
    <mergeCell ref="B26:D26"/>
    <mergeCell ref="B27:D27"/>
    <mergeCell ref="A28:A33"/>
    <mergeCell ref="B28:D28"/>
    <mergeCell ref="B29:D29"/>
    <mergeCell ref="B30:D30"/>
    <mergeCell ref="B31:D31"/>
    <mergeCell ref="B32:D32"/>
    <mergeCell ref="B33:D33"/>
    <mergeCell ref="A21:G21"/>
    <mergeCell ref="B22:D22"/>
    <mergeCell ref="B23:D23"/>
    <mergeCell ref="A24:A27"/>
    <mergeCell ref="B24:D24"/>
    <mergeCell ref="B25:D25"/>
    <mergeCell ref="G25:G27"/>
    <mergeCell ref="F15:F19"/>
    <mergeCell ref="G15:G19"/>
    <mergeCell ref="H15:H19"/>
    <mergeCell ref="I15:I19"/>
    <mergeCell ref="B16:C16"/>
    <mergeCell ref="B19:C19"/>
    <mergeCell ref="B13:D13"/>
    <mergeCell ref="A14:A20"/>
    <mergeCell ref="B14:D14"/>
    <mergeCell ref="B15:C15"/>
    <mergeCell ref="D15:D19"/>
    <mergeCell ref="E15:E19"/>
    <mergeCell ref="B20:D20"/>
    <mergeCell ref="B7:D7"/>
    <mergeCell ref="A8:G8"/>
    <mergeCell ref="B9:D9"/>
    <mergeCell ref="B10:D10"/>
    <mergeCell ref="B11:D11"/>
    <mergeCell ref="A12:G12"/>
    <mergeCell ref="B1:D1"/>
    <mergeCell ref="A2:F2"/>
    <mergeCell ref="B3:F3"/>
    <mergeCell ref="B4:D4"/>
    <mergeCell ref="B5:D5"/>
    <mergeCell ref="B6:D6"/>
  </mergeCells>
  <dataValidations count="8">
    <dataValidation allowBlank="1" showErrorMessage="1" sqref="H95" xr:uid="{BC714FBF-33C0-4506-A085-38834FACC103}"/>
    <dataValidation allowBlank="1" showInputMessage="1" showErrorMessage="1" prompt="Please list down short description of your innovation." sqref="I94:I95" xr:uid="{66A6464C-AB25-4AEB-BFC8-5B8004F4E6FB}"/>
    <dataValidation type="decimal" allowBlank="1" showErrorMessage="1" error="Please enter 0.5 or 1 or 1.5 or 2." prompt="Please Enter 0 or 1 or 1.5 or 2." sqref="H94" xr:uid="{0E22BD61-202B-48BC-89D7-C8B8D96ED393}">
      <formula1>0</formula1>
      <formula2>2</formula2>
    </dataValidation>
    <dataValidation type="list" allowBlank="1" showInputMessage="1" showErrorMessage="1" sqref="E6:E7 E41:E42 E37 E47:E50 E84 E60 E65:E67 E55 E80 E88:E90 E25:E26 E76:E77" xr:uid="{0DCD7BD0-0B8C-4293-BBE4-318C1DB7B1D0}">
      <formula1>"Y,N"</formula1>
    </dataValidation>
    <dataValidation type="decimal" allowBlank="1" showInputMessage="1" showErrorMessage="1" sqref="E10:E11 E27:E28 E20 E32:E33 E30" xr:uid="{690D971A-AA34-451B-81F6-A32220EE5D23}">
      <formula1>0</formula1>
      <formula2>100</formula2>
    </dataValidation>
    <dataValidation type="list" allowBlank="1" showInputMessage="1" showErrorMessage="1" sqref="E56 E71 E38 E54 E36" xr:uid="{7AC906DC-F6D7-43B8-BCD3-0FDA3109B38B}">
      <formula1>"A,B"</formula1>
    </dataValidation>
    <dataValidation type="list" showErrorMessage="1" error="Please enter 0.5 or 1 or 1.5 or 2." prompt="Please Enter 0.5 or 1 or 1.5 or 2." sqref="E94:E95" xr:uid="{A59CE850-73B2-4C05-8DE7-969A05461DBC}">
      <formula1>"0, 0.5, 1.0, 1.5, 2.0"</formula1>
    </dataValidation>
    <dataValidation type="decimal" allowBlank="1" showInputMessage="1" showErrorMessage="1" sqref="E29" xr:uid="{DAA0331A-841A-4964-A43A-BD4A4D5CFC45}">
      <formula1>-1000</formula1>
      <formula2>1000</formula2>
    </dataValidation>
  </dataValidations>
  <pageMargins left="0.7" right="0.7" top="0.75" bottom="0.75" header="0.3" footer="0.3"/>
  <colBreaks count="1" manualBreakCount="1">
    <brk id="9" max="102"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64"/>
  <sheetViews>
    <sheetView zoomScaleNormal="100" workbookViewId="0">
      <selection activeCell="C5" sqref="C5"/>
    </sheetView>
  </sheetViews>
  <sheetFormatPr defaultColWidth="8.7265625" defaultRowHeight="15.5" x14ac:dyDescent="0.35"/>
  <cols>
    <col min="1" max="1" width="8.26953125" style="263" customWidth="1"/>
    <col min="2" max="2" width="73.81640625" style="235" customWidth="1"/>
    <col min="3" max="4" width="10.7265625" style="235" customWidth="1"/>
    <col min="5" max="5" width="19" style="235" customWidth="1"/>
    <col min="6" max="6" width="10.7265625" style="235" customWidth="1"/>
    <col min="7" max="7" width="30.7265625" style="235" customWidth="1"/>
    <col min="8" max="9" width="50.7265625" style="235" customWidth="1"/>
    <col min="10" max="10" width="15.54296875" style="235" customWidth="1"/>
    <col min="11" max="11" width="17.26953125" style="235" customWidth="1"/>
    <col min="12" max="16384" width="8.7265625" style="235"/>
  </cols>
  <sheetData>
    <row r="1" spans="1:7" ht="31" x14ac:dyDescent="0.35">
      <c r="A1" s="2"/>
      <c r="B1" s="3" t="s">
        <v>410</v>
      </c>
      <c r="C1" s="19" t="s">
        <v>65</v>
      </c>
      <c r="D1" s="19" t="s">
        <v>66</v>
      </c>
      <c r="E1" s="20" t="s">
        <v>103</v>
      </c>
      <c r="F1" s="19" t="s">
        <v>104</v>
      </c>
      <c r="G1" s="3" t="s">
        <v>67</v>
      </c>
    </row>
    <row r="2" spans="1:7" ht="21" x14ac:dyDescent="0.35">
      <c r="A2" s="517" t="s">
        <v>33</v>
      </c>
      <c r="B2" s="517"/>
      <c r="C2" s="517"/>
      <c r="D2" s="517"/>
      <c r="E2" s="21">
        <v>15</v>
      </c>
      <c r="F2" s="22">
        <f>MIN(SUM(F3,F21,F35,F61),15)</f>
        <v>0</v>
      </c>
      <c r="G2" s="23" t="s">
        <v>105</v>
      </c>
    </row>
    <row r="3" spans="1:7" x14ac:dyDescent="0.35">
      <c r="A3" s="24" t="s">
        <v>411</v>
      </c>
      <c r="B3" s="518" t="s">
        <v>56</v>
      </c>
      <c r="C3" s="518"/>
      <c r="D3" s="518"/>
      <c r="E3" s="25">
        <v>5</v>
      </c>
      <c r="F3" s="26">
        <f>MIN(SUM(F20,F10), 5)</f>
        <v>0</v>
      </c>
      <c r="G3" s="24"/>
    </row>
    <row r="4" spans="1:7" x14ac:dyDescent="0.35">
      <c r="A4" s="27" t="s">
        <v>412</v>
      </c>
      <c r="B4" s="28" t="s">
        <v>413</v>
      </c>
      <c r="C4" s="28"/>
      <c r="D4" s="29"/>
      <c r="E4" s="30"/>
      <c r="F4" s="31"/>
      <c r="G4" s="30"/>
    </row>
    <row r="5" spans="1:7" ht="31" x14ac:dyDescent="0.35">
      <c r="A5" s="6" t="s">
        <v>75</v>
      </c>
      <c r="B5" s="7" t="s">
        <v>414</v>
      </c>
      <c r="C5" s="10"/>
      <c r="D5" s="32" t="s">
        <v>70</v>
      </c>
      <c r="E5" s="240" t="s">
        <v>130</v>
      </c>
      <c r="F5" s="33">
        <f>IF(C5="Y",2,0)</f>
        <v>0</v>
      </c>
      <c r="G5" s="48"/>
    </row>
    <row r="6" spans="1:7" ht="31" x14ac:dyDescent="0.35">
      <c r="A6" s="436" t="s">
        <v>77</v>
      </c>
      <c r="B6" s="7" t="s">
        <v>415</v>
      </c>
      <c r="C6" s="34"/>
      <c r="D6" s="32"/>
      <c r="E6" s="240"/>
      <c r="F6" s="33"/>
      <c r="G6" s="47"/>
    </row>
    <row r="7" spans="1:7" x14ac:dyDescent="0.35">
      <c r="A7" s="436"/>
      <c r="B7" s="7" t="s">
        <v>416</v>
      </c>
      <c r="C7" s="35" t="s">
        <v>141</v>
      </c>
      <c r="D7" s="32" t="s">
        <v>141</v>
      </c>
      <c r="E7" s="11" t="s">
        <v>141</v>
      </c>
      <c r="F7" s="32" t="s">
        <v>141</v>
      </c>
      <c r="G7" s="47"/>
    </row>
    <row r="8" spans="1:7" ht="31" x14ac:dyDescent="0.35">
      <c r="A8" s="436"/>
      <c r="B8" s="7" t="s">
        <v>417</v>
      </c>
      <c r="C8" s="35" t="s">
        <v>141</v>
      </c>
      <c r="D8" s="32" t="s">
        <v>141</v>
      </c>
      <c r="E8" s="11" t="s">
        <v>141</v>
      </c>
      <c r="F8" s="32" t="s">
        <v>141</v>
      </c>
      <c r="G8" s="47"/>
    </row>
    <row r="9" spans="1:7" ht="46.5" x14ac:dyDescent="0.35">
      <c r="A9" s="6" t="s">
        <v>80</v>
      </c>
      <c r="B9" s="7" t="s">
        <v>418</v>
      </c>
      <c r="C9" s="10"/>
      <c r="D9" s="32" t="s">
        <v>70</v>
      </c>
      <c r="E9" s="240" t="s">
        <v>113</v>
      </c>
      <c r="F9" s="33">
        <f>IF(C9="Y",1,0)</f>
        <v>0</v>
      </c>
      <c r="G9" s="47"/>
    </row>
    <row r="10" spans="1:7" x14ac:dyDescent="0.35">
      <c r="A10" s="36"/>
      <c r="B10" s="519" t="s">
        <v>419</v>
      </c>
      <c r="C10" s="519"/>
      <c r="D10" s="519"/>
      <c r="E10" s="519"/>
      <c r="F10" s="37">
        <f>SUM(F5:F9)</f>
        <v>0</v>
      </c>
      <c r="G10" s="38"/>
    </row>
    <row r="11" spans="1:7" x14ac:dyDescent="0.35">
      <c r="A11" s="27" t="s">
        <v>420</v>
      </c>
      <c r="B11" s="28" t="s">
        <v>421</v>
      </c>
      <c r="C11" s="28"/>
      <c r="D11" s="29"/>
      <c r="E11" s="30"/>
      <c r="F11" s="31"/>
      <c r="G11" s="30"/>
    </row>
    <row r="12" spans="1:7" ht="46.5" x14ac:dyDescent="0.35">
      <c r="A12" s="6"/>
      <c r="B12" s="337" t="s">
        <v>511</v>
      </c>
      <c r="C12" s="32"/>
      <c r="D12" s="32"/>
      <c r="E12" s="68"/>
      <c r="F12" s="33"/>
      <c r="G12" s="47"/>
    </row>
    <row r="13" spans="1:7" ht="31" x14ac:dyDescent="0.35">
      <c r="A13" s="387" t="s">
        <v>75</v>
      </c>
      <c r="B13" s="7" t="s">
        <v>422</v>
      </c>
      <c r="C13" s="34"/>
      <c r="D13" s="32"/>
      <c r="E13" s="240"/>
      <c r="F13" s="33"/>
      <c r="G13" s="47"/>
    </row>
    <row r="14" spans="1:7" ht="31" x14ac:dyDescent="0.35">
      <c r="A14" s="388"/>
      <c r="B14" s="9" t="s">
        <v>423</v>
      </c>
      <c r="C14" s="10"/>
      <c r="D14" s="32" t="s">
        <v>70</v>
      </c>
      <c r="E14" s="40" t="s">
        <v>113</v>
      </c>
      <c r="F14" s="33">
        <f>IF(C14="Y",1,0)</f>
        <v>0</v>
      </c>
      <c r="G14" s="47"/>
    </row>
    <row r="15" spans="1:7" ht="31" x14ac:dyDescent="0.35">
      <c r="A15" s="520"/>
      <c r="B15" s="7" t="s">
        <v>424</v>
      </c>
      <c r="C15" s="10"/>
      <c r="D15" s="32" t="s">
        <v>70</v>
      </c>
      <c r="E15" s="40" t="s">
        <v>113</v>
      </c>
      <c r="F15" s="33">
        <f>IF(C15="Y",1,0)</f>
        <v>0</v>
      </c>
      <c r="G15" s="47"/>
    </row>
    <row r="16" spans="1:7" x14ac:dyDescent="0.35">
      <c r="A16" s="387" t="s">
        <v>77</v>
      </c>
      <c r="B16" s="41" t="s">
        <v>425</v>
      </c>
      <c r="C16" s="34"/>
      <c r="D16" s="32"/>
      <c r="E16" s="240"/>
      <c r="F16" s="33"/>
      <c r="G16" s="47"/>
    </row>
    <row r="17" spans="1:7" ht="46.5" x14ac:dyDescent="0.35">
      <c r="A17" s="388"/>
      <c r="B17" s="7" t="s">
        <v>426</v>
      </c>
      <c r="C17" s="10"/>
      <c r="D17" s="32" t="s">
        <v>70</v>
      </c>
      <c r="E17" s="240" t="s">
        <v>113</v>
      </c>
      <c r="F17" s="33">
        <f>IF(C17="Y",1,0)</f>
        <v>0</v>
      </c>
      <c r="G17" s="47"/>
    </row>
    <row r="18" spans="1:7" x14ac:dyDescent="0.35">
      <c r="A18" s="520"/>
      <c r="B18" s="7" t="s">
        <v>532</v>
      </c>
      <c r="C18" s="10"/>
      <c r="D18" s="32" t="s">
        <v>70</v>
      </c>
      <c r="E18" s="240" t="s">
        <v>113</v>
      </c>
      <c r="F18" s="33">
        <f>IF(C18="Y",1,0)</f>
        <v>0</v>
      </c>
      <c r="G18" s="47"/>
    </row>
    <row r="19" spans="1:7" ht="61" customHeight="1" x14ac:dyDescent="0.35">
      <c r="A19" s="244" t="s">
        <v>80</v>
      </c>
      <c r="B19" s="7" t="s">
        <v>427</v>
      </c>
      <c r="C19" s="10"/>
      <c r="D19" s="32" t="s">
        <v>70</v>
      </c>
      <c r="E19" s="240" t="s">
        <v>113</v>
      </c>
      <c r="F19" s="33">
        <f>IF(C19="Y",1,0)</f>
        <v>0</v>
      </c>
      <c r="G19" s="47"/>
    </row>
    <row r="20" spans="1:7" x14ac:dyDescent="0.35">
      <c r="A20" s="36"/>
      <c r="B20" s="519" t="s">
        <v>428</v>
      </c>
      <c r="C20" s="519"/>
      <c r="D20" s="519"/>
      <c r="E20" s="519"/>
      <c r="F20" s="37">
        <f>SUM(F14:F19)</f>
        <v>0</v>
      </c>
      <c r="G20" s="38"/>
    </row>
    <row r="21" spans="1:7" x14ac:dyDescent="0.35">
      <c r="A21" s="24" t="s">
        <v>429</v>
      </c>
      <c r="B21" s="518" t="s">
        <v>58</v>
      </c>
      <c r="C21" s="518"/>
      <c r="D21" s="518"/>
      <c r="E21" s="25">
        <v>5</v>
      </c>
      <c r="F21" s="26">
        <f>MIN(SUM(F26,F31, F34),5)</f>
        <v>0</v>
      </c>
      <c r="G21" s="24"/>
    </row>
    <row r="22" spans="1:7" x14ac:dyDescent="0.35">
      <c r="A22" s="27" t="s">
        <v>430</v>
      </c>
      <c r="B22" s="28" t="s">
        <v>431</v>
      </c>
      <c r="C22" s="28"/>
      <c r="D22" s="29"/>
      <c r="E22" s="30"/>
      <c r="F22" s="31"/>
      <c r="G22" s="30"/>
    </row>
    <row r="23" spans="1:7" ht="46.5" x14ac:dyDescent="0.35">
      <c r="A23" s="244" t="s">
        <v>75</v>
      </c>
      <c r="B23" s="7" t="s">
        <v>432</v>
      </c>
      <c r="C23" s="10"/>
      <c r="D23" s="32" t="s">
        <v>70</v>
      </c>
      <c r="E23" s="240" t="s">
        <v>113</v>
      </c>
      <c r="F23" s="33">
        <f>IF(C23="Y",1,0)</f>
        <v>0</v>
      </c>
      <c r="G23" s="47"/>
    </row>
    <row r="24" spans="1:7" ht="62" x14ac:dyDescent="0.35">
      <c r="A24" s="244" t="s">
        <v>77</v>
      </c>
      <c r="B24" s="7" t="s">
        <v>433</v>
      </c>
      <c r="C24" s="10"/>
      <c r="D24" s="32" t="s">
        <v>70</v>
      </c>
      <c r="E24" s="240" t="s">
        <v>130</v>
      </c>
      <c r="F24" s="33">
        <f>IF(C24="Y",2,0)</f>
        <v>0</v>
      </c>
      <c r="G24" s="47"/>
    </row>
    <row r="25" spans="1:7" ht="31" x14ac:dyDescent="0.35">
      <c r="A25" s="244" t="s">
        <v>80</v>
      </c>
      <c r="B25" s="7" t="s">
        <v>434</v>
      </c>
      <c r="C25" s="10"/>
      <c r="D25" s="32" t="s">
        <v>70</v>
      </c>
      <c r="E25" s="240" t="s">
        <v>113</v>
      </c>
      <c r="F25" s="33">
        <f>IF(C25="Y",1,0)</f>
        <v>0</v>
      </c>
      <c r="G25" s="47"/>
    </row>
    <row r="26" spans="1:7" x14ac:dyDescent="0.35">
      <c r="A26" s="36"/>
      <c r="B26" s="519" t="s">
        <v>435</v>
      </c>
      <c r="C26" s="519"/>
      <c r="D26" s="519"/>
      <c r="E26" s="519"/>
      <c r="F26" s="37">
        <f>SUM(F23:F25)</f>
        <v>0</v>
      </c>
      <c r="G26" s="38"/>
    </row>
    <row r="27" spans="1:7" x14ac:dyDescent="0.35">
      <c r="A27" s="27" t="s">
        <v>436</v>
      </c>
      <c r="B27" s="28" t="s">
        <v>437</v>
      </c>
      <c r="C27" s="28"/>
      <c r="D27" s="29"/>
      <c r="E27" s="30"/>
      <c r="F27" s="31"/>
      <c r="G27" s="30"/>
    </row>
    <row r="28" spans="1:7" ht="62" x14ac:dyDescent="0.35">
      <c r="A28" s="244" t="s">
        <v>75</v>
      </c>
      <c r="B28" s="335" t="s">
        <v>438</v>
      </c>
      <c r="C28" s="10"/>
      <c r="D28" s="32" t="s">
        <v>70</v>
      </c>
      <c r="E28" s="42" t="s">
        <v>169</v>
      </c>
      <c r="F28" s="33">
        <f>IF(C28="Y",0.5,0)</f>
        <v>0</v>
      </c>
      <c r="G28" s="47"/>
    </row>
    <row r="29" spans="1:7" ht="31" x14ac:dyDescent="0.35">
      <c r="A29" s="244" t="s">
        <v>77</v>
      </c>
      <c r="B29" s="335" t="s">
        <v>439</v>
      </c>
      <c r="C29" s="10"/>
      <c r="D29" s="32" t="s">
        <v>70</v>
      </c>
      <c r="E29" s="42" t="s">
        <v>169</v>
      </c>
      <c r="F29" s="33">
        <f t="shared" ref="F29:F30" si="0">IF(C29="Y",0.5,0)</f>
        <v>0</v>
      </c>
      <c r="G29" s="49"/>
    </row>
    <row r="30" spans="1:7" ht="31" x14ac:dyDescent="0.35">
      <c r="A30" s="244" t="s">
        <v>80</v>
      </c>
      <c r="B30" s="335" t="s">
        <v>440</v>
      </c>
      <c r="C30" s="10"/>
      <c r="D30" s="32" t="s">
        <v>70</v>
      </c>
      <c r="E30" s="42" t="s">
        <v>169</v>
      </c>
      <c r="F30" s="33">
        <f t="shared" si="0"/>
        <v>0</v>
      </c>
      <c r="G30" s="49"/>
    </row>
    <row r="31" spans="1:7" x14ac:dyDescent="0.35">
      <c r="A31" s="36"/>
      <c r="B31" s="519" t="s">
        <v>441</v>
      </c>
      <c r="C31" s="519"/>
      <c r="D31" s="519"/>
      <c r="E31" s="519"/>
      <c r="F31" s="37">
        <f>SUM(F28:F30)</f>
        <v>0</v>
      </c>
      <c r="G31" s="38"/>
    </row>
    <row r="32" spans="1:7" x14ac:dyDescent="0.35">
      <c r="A32" s="27" t="s">
        <v>442</v>
      </c>
      <c r="B32" s="28" t="s">
        <v>443</v>
      </c>
      <c r="C32" s="28"/>
      <c r="D32" s="29"/>
      <c r="E32" s="30"/>
      <c r="F32" s="31"/>
      <c r="G32" s="30"/>
    </row>
    <row r="33" spans="1:7" ht="108.5" x14ac:dyDescent="0.35">
      <c r="A33" s="244" t="s">
        <v>75</v>
      </c>
      <c r="B33" s="335" t="s">
        <v>444</v>
      </c>
      <c r="C33" s="10"/>
      <c r="D33" s="32" t="s">
        <v>70</v>
      </c>
      <c r="E33" s="42" t="s">
        <v>130</v>
      </c>
      <c r="F33" s="33">
        <f>IF(C33="Y",2,0)</f>
        <v>0</v>
      </c>
      <c r="G33" s="47"/>
    </row>
    <row r="34" spans="1:7" x14ac:dyDescent="0.35">
      <c r="A34" s="36"/>
      <c r="B34" s="519" t="s">
        <v>445</v>
      </c>
      <c r="C34" s="519"/>
      <c r="D34" s="519"/>
      <c r="E34" s="519"/>
      <c r="F34" s="37">
        <f>SUM(F33:F33)</f>
        <v>0</v>
      </c>
      <c r="G34" s="38"/>
    </row>
    <row r="35" spans="1:7" x14ac:dyDescent="0.35">
      <c r="A35" s="24" t="s">
        <v>446</v>
      </c>
      <c r="B35" s="518" t="s">
        <v>60</v>
      </c>
      <c r="C35" s="518"/>
      <c r="D35" s="518"/>
      <c r="E35" s="25">
        <v>5</v>
      </c>
      <c r="F35" s="26">
        <f>MIN(SUM(F41,F46,F49, F52, F60),5)</f>
        <v>0</v>
      </c>
      <c r="G35" s="24"/>
    </row>
    <row r="36" spans="1:7" x14ac:dyDescent="0.35">
      <c r="A36" s="27" t="s">
        <v>447</v>
      </c>
      <c r="B36" s="28" t="s">
        <v>448</v>
      </c>
      <c r="C36" s="28"/>
      <c r="D36" s="29"/>
      <c r="E36" s="30"/>
      <c r="F36" s="31"/>
      <c r="G36" s="30"/>
    </row>
    <row r="37" spans="1:7" ht="46.5" x14ac:dyDescent="0.35">
      <c r="A37" s="244" t="s">
        <v>75</v>
      </c>
      <c r="B37" s="7" t="s">
        <v>449</v>
      </c>
      <c r="C37" s="10"/>
      <c r="D37" s="32" t="s">
        <v>70</v>
      </c>
      <c r="E37" s="240" t="s">
        <v>169</v>
      </c>
      <c r="F37" s="33">
        <f>IF(C37="Y",0.5,0)</f>
        <v>0</v>
      </c>
      <c r="G37" s="47"/>
    </row>
    <row r="38" spans="1:7" ht="46.5" x14ac:dyDescent="0.35">
      <c r="A38" s="244" t="s">
        <v>77</v>
      </c>
      <c r="B38" s="252" t="s">
        <v>450</v>
      </c>
      <c r="C38" s="10"/>
      <c r="D38" s="32" t="s">
        <v>70</v>
      </c>
      <c r="E38" s="240" t="s">
        <v>113</v>
      </c>
      <c r="F38" s="33">
        <f>IF(C38="Y",1,0)</f>
        <v>0</v>
      </c>
      <c r="G38" s="47"/>
    </row>
    <row r="39" spans="1:7" ht="62" x14ac:dyDescent="0.35">
      <c r="A39" s="244" t="s">
        <v>80</v>
      </c>
      <c r="B39" s="252" t="s">
        <v>451</v>
      </c>
      <c r="C39" s="10"/>
      <c r="D39" s="32" t="s">
        <v>70</v>
      </c>
      <c r="E39" s="240" t="s">
        <v>169</v>
      </c>
      <c r="F39" s="33">
        <f>IF(C39="Y",0.5,0)</f>
        <v>0</v>
      </c>
      <c r="G39" s="47"/>
    </row>
    <row r="40" spans="1:7" ht="46.5" x14ac:dyDescent="0.35">
      <c r="A40" s="244" t="s">
        <v>85</v>
      </c>
      <c r="B40" s="252" t="s">
        <v>452</v>
      </c>
      <c r="C40" s="10"/>
      <c r="D40" s="32" t="s">
        <v>70</v>
      </c>
      <c r="E40" s="240" t="s">
        <v>113</v>
      </c>
      <c r="F40" s="33">
        <f>IF(C40="Y",1,0)</f>
        <v>0</v>
      </c>
      <c r="G40" s="47"/>
    </row>
    <row r="41" spans="1:7" x14ac:dyDescent="0.35">
      <c r="A41" s="36"/>
      <c r="B41" s="519" t="s">
        <v>453</v>
      </c>
      <c r="C41" s="519"/>
      <c r="D41" s="519"/>
      <c r="E41" s="519"/>
      <c r="F41" s="37">
        <f>SUM(F37:F40)</f>
        <v>0</v>
      </c>
      <c r="G41" s="38"/>
    </row>
    <row r="42" spans="1:7" x14ac:dyDescent="0.35">
      <c r="A42" s="27" t="s">
        <v>454</v>
      </c>
      <c r="B42" s="28" t="s">
        <v>455</v>
      </c>
      <c r="C42" s="28"/>
      <c r="D42" s="29"/>
      <c r="E42" s="30"/>
      <c r="F42" s="31"/>
      <c r="G42" s="30"/>
    </row>
    <row r="43" spans="1:7" x14ac:dyDescent="0.35">
      <c r="A43" s="8"/>
      <c r="B43" s="9" t="s">
        <v>456</v>
      </c>
      <c r="C43" s="34"/>
      <c r="D43" s="32"/>
      <c r="E43" s="240"/>
      <c r="F43" s="33"/>
      <c r="G43" s="47"/>
    </row>
    <row r="44" spans="1:7" ht="31" x14ac:dyDescent="0.35">
      <c r="A44" s="244" t="s">
        <v>75</v>
      </c>
      <c r="B44" s="43" t="s">
        <v>457</v>
      </c>
      <c r="C44" s="10"/>
      <c r="D44" s="32" t="s">
        <v>70</v>
      </c>
      <c r="E44" s="240" t="s">
        <v>169</v>
      </c>
      <c r="F44" s="33">
        <f>IF(C44="Y",0.5,0)</f>
        <v>0</v>
      </c>
      <c r="G44" s="47"/>
    </row>
    <row r="45" spans="1:7" x14ac:dyDescent="0.35">
      <c r="A45" s="244" t="s">
        <v>77</v>
      </c>
      <c r="B45" s="43" t="s">
        <v>458</v>
      </c>
      <c r="C45" s="10"/>
      <c r="D45" s="32" t="s">
        <v>70</v>
      </c>
      <c r="E45" s="240" t="s">
        <v>169</v>
      </c>
      <c r="F45" s="33">
        <f>IF(C45="Y",0.5,0)</f>
        <v>0</v>
      </c>
      <c r="G45" s="47"/>
    </row>
    <row r="46" spans="1:7" ht="15.65" customHeight="1" x14ac:dyDescent="0.35">
      <c r="A46" s="36"/>
      <c r="B46" s="519" t="s">
        <v>459</v>
      </c>
      <c r="C46" s="519"/>
      <c r="D46" s="519"/>
      <c r="E46" s="519"/>
      <c r="F46" s="37">
        <f>SUM(F44:F45)</f>
        <v>0</v>
      </c>
      <c r="G46" s="38"/>
    </row>
    <row r="47" spans="1:7" ht="31" x14ac:dyDescent="0.35">
      <c r="A47" s="27" t="s">
        <v>460</v>
      </c>
      <c r="B47" s="28" t="s">
        <v>461</v>
      </c>
      <c r="C47" s="28"/>
      <c r="D47" s="29"/>
      <c r="E47" s="30"/>
      <c r="F47" s="31"/>
      <c r="G47" s="30"/>
    </row>
    <row r="48" spans="1:7" ht="31" x14ac:dyDescent="0.35">
      <c r="A48" s="336"/>
      <c r="B48" s="43" t="s">
        <v>462</v>
      </c>
      <c r="C48" s="10"/>
      <c r="D48" s="32" t="s">
        <v>70</v>
      </c>
      <c r="E48" s="240" t="s">
        <v>113</v>
      </c>
      <c r="F48" s="33">
        <f>IF(C48="Y",1,0)</f>
        <v>0</v>
      </c>
      <c r="G48" s="47"/>
    </row>
    <row r="49" spans="1:7" ht="15.65" customHeight="1" x14ac:dyDescent="0.35">
      <c r="A49" s="36"/>
      <c r="B49" s="519" t="s">
        <v>463</v>
      </c>
      <c r="C49" s="519"/>
      <c r="D49" s="519"/>
      <c r="E49" s="519"/>
      <c r="F49" s="37">
        <f>SUM(F48:F48)</f>
        <v>0</v>
      </c>
      <c r="G49" s="38"/>
    </row>
    <row r="50" spans="1:7" x14ac:dyDescent="0.35">
      <c r="A50" s="27" t="s">
        <v>464</v>
      </c>
      <c r="B50" s="28" t="s">
        <v>465</v>
      </c>
      <c r="C50" s="28"/>
      <c r="D50" s="29"/>
      <c r="E50" s="30"/>
      <c r="F50" s="31"/>
      <c r="G50" s="30"/>
    </row>
    <row r="51" spans="1:7" ht="46.5" x14ac:dyDescent="0.35">
      <c r="A51" s="336"/>
      <c r="B51" s="43" t="s">
        <v>466</v>
      </c>
      <c r="C51" s="10"/>
      <c r="D51" s="32" t="s">
        <v>70</v>
      </c>
      <c r="E51" s="240" t="s">
        <v>113</v>
      </c>
      <c r="F51" s="33">
        <f>IF(C51="Y",1,0)</f>
        <v>0</v>
      </c>
      <c r="G51" s="47"/>
    </row>
    <row r="52" spans="1:7" ht="15.65" customHeight="1" x14ac:dyDescent="0.35">
      <c r="A52" s="36"/>
      <c r="B52" s="519" t="s">
        <v>467</v>
      </c>
      <c r="C52" s="519"/>
      <c r="D52" s="519"/>
      <c r="E52" s="519"/>
      <c r="F52" s="37">
        <f>SUM(F51:F51)</f>
        <v>0</v>
      </c>
      <c r="G52" s="38"/>
    </row>
    <row r="53" spans="1:7" x14ac:dyDescent="0.35">
      <c r="A53" s="27" t="s">
        <v>468</v>
      </c>
      <c r="B53" s="28" t="s">
        <v>469</v>
      </c>
      <c r="C53" s="28"/>
      <c r="D53" s="29"/>
      <c r="E53" s="30"/>
      <c r="F53" s="31"/>
      <c r="G53" s="30"/>
    </row>
    <row r="54" spans="1:7" ht="93" x14ac:dyDescent="0.35">
      <c r="A54" s="244" t="s">
        <v>75</v>
      </c>
      <c r="B54" s="43" t="s">
        <v>470</v>
      </c>
      <c r="C54" s="10"/>
      <c r="D54" s="32" t="s">
        <v>70</v>
      </c>
      <c r="E54" s="240" t="s">
        <v>169</v>
      </c>
      <c r="F54" s="33">
        <f>IF(C54="Y",0.5,0)</f>
        <v>0</v>
      </c>
      <c r="G54" s="47"/>
    </row>
    <row r="55" spans="1:7" ht="46.5" x14ac:dyDescent="0.35">
      <c r="A55" s="244" t="s">
        <v>77</v>
      </c>
      <c r="B55" s="43" t="s">
        <v>471</v>
      </c>
      <c r="C55" s="10"/>
      <c r="D55" s="32" t="s">
        <v>70</v>
      </c>
      <c r="E55" s="240" t="s">
        <v>169</v>
      </c>
      <c r="F55" s="33">
        <f t="shared" ref="F55" si="1">IF(C55="Y",0.5,0)</f>
        <v>0</v>
      </c>
      <c r="G55" s="47"/>
    </row>
    <row r="56" spans="1:7" ht="46.5" x14ac:dyDescent="0.35">
      <c r="A56" s="387" t="s">
        <v>80</v>
      </c>
      <c r="B56" s="43" t="s">
        <v>472</v>
      </c>
      <c r="C56" s="35" t="s">
        <v>141</v>
      </c>
      <c r="D56" s="32" t="s">
        <v>141</v>
      </c>
      <c r="E56" s="11" t="s">
        <v>141</v>
      </c>
      <c r="F56" s="32" t="s">
        <v>141</v>
      </c>
      <c r="G56" s="47"/>
    </row>
    <row r="57" spans="1:7" x14ac:dyDescent="0.35">
      <c r="A57" s="520"/>
      <c r="B57" s="43" t="s">
        <v>473</v>
      </c>
      <c r="C57" s="35" t="s">
        <v>141</v>
      </c>
      <c r="D57" s="32" t="s">
        <v>141</v>
      </c>
      <c r="E57" s="11" t="s">
        <v>141</v>
      </c>
      <c r="F57" s="32" t="s">
        <v>141</v>
      </c>
      <c r="G57" s="47"/>
    </row>
    <row r="58" spans="1:7" ht="46.5" x14ac:dyDescent="0.35">
      <c r="A58" s="387" t="s">
        <v>85</v>
      </c>
      <c r="B58" s="43" t="s">
        <v>474</v>
      </c>
      <c r="C58" s="35" t="s">
        <v>141</v>
      </c>
      <c r="D58" s="32" t="s">
        <v>141</v>
      </c>
      <c r="E58" s="11" t="s">
        <v>141</v>
      </c>
      <c r="F58" s="32" t="s">
        <v>141</v>
      </c>
      <c r="G58" s="47"/>
    </row>
    <row r="59" spans="1:7" x14ac:dyDescent="0.35">
      <c r="A59" s="520"/>
      <c r="B59" s="43" t="s">
        <v>475</v>
      </c>
      <c r="C59" s="35" t="s">
        <v>141</v>
      </c>
      <c r="D59" s="32" t="s">
        <v>141</v>
      </c>
      <c r="E59" s="11" t="s">
        <v>141</v>
      </c>
      <c r="F59" s="32" t="s">
        <v>141</v>
      </c>
      <c r="G59" s="47"/>
    </row>
    <row r="60" spans="1:7" ht="15.65" customHeight="1" x14ac:dyDescent="0.35">
      <c r="A60" s="36"/>
      <c r="B60" s="519" t="s">
        <v>476</v>
      </c>
      <c r="C60" s="519"/>
      <c r="D60" s="519"/>
      <c r="E60" s="519"/>
      <c r="F60" s="37">
        <f>SUM(F54:F59)</f>
        <v>0</v>
      </c>
      <c r="G60" s="38"/>
    </row>
    <row r="61" spans="1:7" x14ac:dyDescent="0.35">
      <c r="A61" s="24"/>
      <c r="B61" s="518" t="s">
        <v>477</v>
      </c>
      <c r="C61" s="518"/>
      <c r="D61" s="518"/>
      <c r="E61" s="25">
        <v>2</v>
      </c>
      <c r="F61" s="26">
        <f>MIN(SUM(F63:F64),2)</f>
        <v>0</v>
      </c>
      <c r="G61" s="24"/>
    </row>
    <row r="62" spans="1:7" ht="62" x14ac:dyDescent="0.35">
      <c r="A62" s="27"/>
      <c r="B62" s="28" t="s">
        <v>478</v>
      </c>
      <c r="C62" s="28"/>
      <c r="D62" s="523" t="s">
        <v>198</v>
      </c>
      <c r="E62" s="524"/>
      <c r="F62" s="525"/>
      <c r="G62" s="46" t="s">
        <v>199</v>
      </c>
    </row>
    <row r="63" spans="1:7" ht="151.5" customHeight="1" x14ac:dyDescent="0.35">
      <c r="A63" s="436"/>
      <c r="B63" s="521" t="s">
        <v>533</v>
      </c>
      <c r="C63" s="10"/>
      <c r="D63" s="32" t="s">
        <v>73</v>
      </c>
      <c r="E63" s="374" t="s">
        <v>479</v>
      </c>
      <c r="F63" s="296">
        <f>C63</f>
        <v>0</v>
      </c>
      <c r="G63" s="78" t="s">
        <v>201</v>
      </c>
    </row>
    <row r="64" spans="1:7" ht="160.5" customHeight="1" x14ac:dyDescent="0.35">
      <c r="A64" s="436"/>
      <c r="B64" s="522"/>
      <c r="C64" s="10"/>
      <c r="D64" s="32" t="s">
        <v>73</v>
      </c>
      <c r="E64" s="375"/>
      <c r="F64" s="296">
        <f>C64</f>
        <v>0</v>
      </c>
      <c r="G64" s="269" t="s">
        <v>480</v>
      </c>
    </row>
  </sheetData>
  <sheetProtection algorithmName="SHA-512" hashValue="i93YkBDeusJY9KKT0NGWP9Sh6k9NCrJbe+yFxcFbOgeOIqbNLVjNJHYN0aIPpIc5cwrlUyOPU2Pmrcc6SuvyTw==" saltValue="F0LvxnfctCb6VG+WXl7WnQ==" spinCount="100000" sheet="1" formatCells="0" selectLockedCells="1"/>
  <mergeCells count="24">
    <mergeCell ref="B21:D21"/>
    <mergeCell ref="B35:D35"/>
    <mergeCell ref="B46:E46"/>
    <mergeCell ref="B49:E49"/>
    <mergeCell ref="B34:E34"/>
    <mergeCell ref="B63:B64"/>
    <mergeCell ref="A63:A64"/>
    <mergeCell ref="B26:E26"/>
    <mergeCell ref="B31:E31"/>
    <mergeCell ref="B41:E41"/>
    <mergeCell ref="B61:D61"/>
    <mergeCell ref="B52:E52"/>
    <mergeCell ref="B60:E60"/>
    <mergeCell ref="D62:F62"/>
    <mergeCell ref="E63:E64"/>
    <mergeCell ref="A56:A57"/>
    <mergeCell ref="A58:A59"/>
    <mergeCell ref="A2:D2"/>
    <mergeCell ref="B3:D3"/>
    <mergeCell ref="B10:E10"/>
    <mergeCell ref="B20:E20"/>
    <mergeCell ref="A6:A8"/>
    <mergeCell ref="A16:A18"/>
    <mergeCell ref="A13:A15"/>
  </mergeCells>
  <conditionalFormatting sqref="E12">
    <cfRule type="expression" dxfId="0" priority="1">
      <formula>$E$12="Assessor, Please check GM application date"</formula>
    </cfRule>
  </conditionalFormatting>
  <dataValidations count="3">
    <dataValidation type="list" allowBlank="1" showInputMessage="1" showErrorMessage="1" sqref="C33 C23:C25 C37:C40 C48 C5 C9 C28:C30 C51 C17:C19 C14:C15 C44:C45 C54:C55" xr:uid="{00000000-0002-0000-0600-000000000000}">
      <formula1>"Y,N"</formula1>
    </dataValidation>
    <dataValidation type="decimal" allowBlank="1" showErrorMessage="1" error="Please enter 0.5 or 1 or 1.5 or 2." prompt="Please Enter 0 or 1 or 1.5 or 2." sqref="F63:F64" xr:uid="{00000000-0002-0000-0600-000001000000}">
      <formula1>0</formula1>
      <formula2>2</formula2>
    </dataValidation>
    <dataValidation allowBlank="1" showInputMessage="1" showErrorMessage="1" prompt="Please list down short description of your innovation." sqref="G63:G64" xr:uid="{00000000-0002-0000-0600-000002000000}"/>
  </dataValidations>
  <pageMargins left="0.7" right="0.7" top="0.75" bottom="0.75" header="0.3" footer="0.3"/>
  <pageSetup paperSize="9" orientation="portrait" r:id="rId1"/>
  <ignoredErrors>
    <ignoredError sqref="F38:F39 F24" formula="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74"/>
  <sheetViews>
    <sheetView zoomScale="85" zoomScaleNormal="85" workbookViewId="0">
      <selection activeCell="H6" sqref="H6"/>
    </sheetView>
  </sheetViews>
  <sheetFormatPr defaultRowHeight="15.5" x14ac:dyDescent="0.35"/>
  <cols>
    <col min="1" max="1" width="8.26953125" style="1" customWidth="1"/>
    <col min="2" max="2" width="65.7265625" customWidth="1"/>
    <col min="3" max="3" width="9.453125" customWidth="1"/>
    <col min="4" max="4" width="12.453125" customWidth="1"/>
    <col min="5" max="6" width="12" style="13" customWidth="1"/>
    <col min="7" max="7" width="18.453125" customWidth="1"/>
    <col min="8" max="8" width="50.453125" style="281" customWidth="1"/>
    <col min="9" max="9" width="50.7265625" style="281" customWidth="1"/>
    <col min="10" max="10" width="17.26953125" hidden="1" customWidth="1"/>
    <col min="11" max="14" width="9.1796875" hidden="1" customWidth="1"/>
  </cols>
  <sheetData>
    <row r="1" spans="1:14" ht="16" thickBot="1" x14ac:dyDescent="0.4">
      <c r="H1" s="258"/>
      <c r="I1" s="258"/>
    </row>
    <row r="2" spans="1:14" ht="21" x14ac:dyDescent="0.35">
      <c r="A2" s="558" t="s">
        <v>481</v>
      </c>
      <c r="B2" s="559"/>
      <c r="C2" s="559"/>
      <c r="D2" s="559"/>
      <c r="E2" s="559"/>
      <c r="F2" s="559"/>
      <c r="G2" s="560"/>
      <c r="H2" s="258"/>
      <c r="I2" s="258"/>
    </row>
    <row r="3" spans="1:14" ht="85.5" customHeight="1" x14ac:dyDescent="0.35">
      <c r="A3" s="545"/>
      <c r="B3" s="546"/>
      <c r="C3" s="546"/>
      <c r="D3" s="546"/>
      <c r="E3" s="546"/>
      <c r="F3" s="546"/>
      <c r="G3" s="547"/>
      <c r="H3" s="258"/>
      <c r="I3" s="258"/>
    </row>
    <row r="4" spans="1:14" ht="190.5" customHeight="1" thickBot="1" x14ac:dyDescent="0.4">
      <c r="A4" s="548" t="s">
        <v>482</v>
      </c>
      <c r="B4" s="549"/>
      <c r="C4" s="549"/>
      <c r="D4" s="549"/>
      <c r="E4" s="549"/>
      <c r="F4" s="549"/>
      <c r="G4" s="550"/>
      <c r="H4" s="258"/>
      <c r="I4" s="258"/>
    </row>
    <row r="5" spans="1:14" x14ac:dyDescent="0.35">
      <c r="H5" s="258"/>
      <c r="I5" s="258"/>
    </row>
    <row r="6" spans="1:14" ht="31" customHeight="1" x14ac:dyDescent="0.35">
      <c r="A6" s="2"/>
      <c r="B6" s="3" t="s">
        <v>483</v>
      </c>
      <c r="C6" s="538" t="s">
        <v>103</v>
      </c>
      <c r="D6" s="538"/>
      <c r="E6" s="538" t="s">
        <v>484</v>
      </c>
      <c r="F6" s="538"/>
      <c r="G6" s="19" t="s">
        <v>485</v>
      </c>
      <c r="H6" s="258"/>
      <c r="I6" s="258"/>
      <c r="K6" s="538" t="s">
        <v>484</v>
      </c>
      <c r="L6" s="538"/>
      <c r="M6" s="538" t="s">
        <v>484</v>
      </c>
      <c r="N6" s="538"/>
    </row>
    <row r="7" spans="1:14" ht="18.5" x14ac:dyDescent="0.35">
      <c r="A7" s="555" t="s">
        <v>34</v>
      </c>
      <c r="B7" s="556"/>
      <c r="C7" s="553">
        <f>'[3]Maintainability Score Summary'!$K$37</f>
        <v>124</v>
      </c>
      <c r="D7" s="351"/>
      <c r="E7" s="351"/>
      <c r="F7" s="351"/>
      <c r="G7" s="275"/>
      <c r="H7" s="258"/>
      <c r="I7" s="258"/>
      <c r="K7" s="351"/>
      <c r="L7" s="351"/>
      <c r="M7" s="351"/>
      <c r="N7" s="351"/>
    </row>
    <row r="8" spans="1:14" x14ac:dyDescent="0.35">
      <c r="A8" s="542" t="s">
        <v>486</v>
      </c>
      <c r="B8" s="542"/>
      <c r="C8" s="535">
        <f>'[3]Maintainability Score Summary'!$E$6</f>
        <v>8.5</v>
      </c>
      <c r="D8" s="535"/>
      <c r="E8" s="535">
        <f t="shared" ref="E8:E10" si="0">MAX(K8:N8)</f>
        <v>0</v>
      </c>
      <c r="F8" s="535"/>
      <c r="G8" s="274" t="str">
        <f>IF(G9="","",G9)</f>
        <v/>
      </c>
      <c r="H8" s="258"/>
      <c r="I8" s="258"/>
      <c r="K8" s="536">
        <f>'[3]Maintainability Score Summary'!$F$6</f>
        <v>0</v>
      </c>
      <c r="L8" s="535"/>
      <c r="M8" s="536">
        <f>IF(K8=0,'[4]Maintainability Score Summary'!$F$6,0)</f>
        <v>0</v>
      </c>
      <c r="N8" s="535"/>
    </row>
    <row r="9" spans="1:14" x14ac:dyDescent="0.35">
      <c r="A9" s="11">
        <v>0.1</v>
      </c>
      <c r="B9" s="12" t="str">
        <f>'[3]Maintainability Score Summary'!$B$7</f>
        <v>General Project Requirement</v>
      </c>
      <c r="C9" s="552">
        <f>'[3]Maintainability Score Summary'!$E$7</f>
        <v>8.5</v>
      </c>
      <c r="D9" s="552"/>
      <c r="E9" s="552">
        <f t="shared" si="0"/>
        <v>0</v>
      </c>
      <c r="F9" s="552"/>
      <c r="G9" s="280"/>
      <c r="H9" s="258"/>
      <c r="I9" s="258"/>
      <c r="K9" s="532">
        <f>'[3]Maintainability Score Summary'!$F$7</f>
        <v>0</v>
      </c>
      <c r="L9" s="366"/>
      <c r="M9" s="532">
        <f>IF(K9=0,'[4]Maintainability Score Summary'!$F$7,0)</f>
        <v>0</v>
      </c>
      <c r="N9" s="366"/>
    </row>
    <row r="10" spans="1:14" x14ac:dyDescent="0.35">
      <c r="A10" s="542" t="s">
        <v>487</v>
      </c>
      <c r="B10" s="542"/>
      <c r="C10" s="535">
        <f>'[3]Maintainability Score Summary'!$E$8</f>
        <v>14.5</v>
      </c>
      <c r="D10" s="535"/>
      <c r="E10" s="535">
        <f t="shared" si="0"/>
        <v>0</v>
      </c>
      <c r="F10" s="535"/>
      <c r="G10" s="274" t="str">
        <f>IF(OR(G11="",G13="",G17=""),"",SUM(G17,G13,G11))</f>
        <v/>
      </c>
      <c r="H10" s="258"/>
      <c r="I10" s="258"/>
      <c r="K10" s="536">
        <f>'[3]Maintainability Score Summary'!$F$8</f>
        <v>0</v>
      </c>
      <c r="L10" s="535"/>
      <c r="M10" s="536">
        <f>IF(K10=0,'[4]Maintainability Score Summary'!$F$8,0)</f>
        <v>0</v>
      </c>
      <c r="N10" s="535"/>
    </row>
    <row r="11" spans="1:14" x14ac:dyDescent="0.35">
      <c r="A11" s="561" t="str">
        <f>'[3]Maintainability Score Summary'!$A$9</f>
        <v>Part A - General Façade</v>
      </c>
      <c r="B11" s="562"/>
      <c r="C11" s="534">
        <f>'[3]Maintainability Score Summary'!$E$9</f>
        <v>2</v>
      </c>
      <c r="D11" s="534"/>
      <c r="E11" s="534">
        <f>MAX(K11:N11)</f>
        <v>0</v>
      </c>
      <c r="F11" s="534"/>
      <c r="G11" s="276" t="str">
        <f>IF(G12="","",G12)</f>
        <v/>
      </c>
      <c r="H11" s="258"/>
      <c r="I11" s="258"/>
      <c r="K11" s="533">
        <f>'[3]Maintainability Score Summary'!$F$9</f>
        <v>0</v>
      </c>
      <c r="L11" s="534"/>
      <c r="M11" s="533">
        <f>IF(K11=0,'[4]Maintainability Score Summary'!$F$9,0)</f>
        <v>0</v>
      </c>
      <c r="N11" s="534"/>
    </row>
    <row r="12" spans="1:14" x14ac:dyDescent="0.35">
      <c r="A12" s="6">
        <v>1.1000000000000001</v>
      </c>
      <c r="B12" s="7" t="str">
        <f>'[3]Maintainability Score Summary'!$B$10</f>
        <v>General Façade</v>
      </c>
      <c r="C12" s="366">
        <f>'[3]Maintainability Score Summary'!$E$10</f>
        <v>2</v>
      </c>
      <c r="D12" s="366"/>
      <c r="E12" s="366">
        <f t="shared" ref="E12:E13" si="1">MAX(K12:N12)</f>
        <v>0</v>
      </c>
      <c r="F12" s="366"/>
      <c r="G12" s="280"/>
      <c r="H12" s="258"/>
      <c r="I12" s="258"/>
      <c r="K12" s="532">
        <f>'[3]Maintainability Score Summary'!$F$10</f>
        <v>0</v>
      </c>
      <c r="L12" s="366"/>
      <c r="M12" s="532">
        <f>IF(K12=0,'[4]Maintainability Score Summary'!$F$10,0)</f>
        <v>0</v>
      </c>
      <c r="N12" s="366"/>
    </row>
    <row r="13" spans="1:14" x14ac:dyDescent="0.35">
      <c r="A13" s="561" t="str">
        <f>'[3]Maintainability Score Summary'!$A$11</f>
        <v>Part B - Façade System</v>
      </c>
      <c r="B13" s="562"/>
      <c r="C13" s="534">
        <f>'[3]Maintainability Score Summary'!$E$11</f>
        <v>4</v>
      </c>
      <c r="D13" s="534"/>
      <c r="E13" s="534">
        <f t="shared" si="1"/>
        <v>0</v>
      </c>
      <c r="F13" s="534"/>
      <c r="G13" s="276" t="str">
        <f>IF(G14="","",G14)</f>
        <v/>
      </c>
      <c r="H13" s="258"/>
      <c r="I13" s="258"/>
      <c r="K13" s="533">
        <f>'[3]Maintainability Score Summary'!$F$11</f>
        <v>0</v>
      </c>
      <c r="L13" s="534"/>
      <c r="M13" s="533">
        <f>IF(K13=0,'[4]Maintainability Score Summary'!$F$11,0)</f>
        <v>0</v>
      </c>
      <c r="N13" s="534"/>
    </row>
    <row r="14" spans="1:14" x14ac:dyDescent="0.35">
      <c r="A14" s="6">
        <v>1.2</v>
      </c>
      <c r="B14" s="7" t="str">
        <f>'[3]Maintainability Score Summary'!$B$12</f>
        <v>Cladding system: Tile/ Stone/ Metal/ Others</v>
      </c>
      <c r="C14" s="366">
        <f>'[3]Maintainability Score Summary'!$E$12</f>
        <v>4</v>
      </c>
      <c r="D14" s="366"/>
      <c r="E14" s="366">
        <f>MAX(K14:N14)</f>
        <v>0</v>
      </c>
      <c r="F14" s="366"/>
      <c r="G14" s="551"/>
      <c r="H14" s="258"/>
      <c r="I14" s="258"/>
      <c r="K14" s="539">
        <f>'[3]Maintainability Score Summary'!$F$12</f>
        <v>0</v>
      </c>
      <c r="L14" s="539"/>
      <c r="M14" s="539">
        <f>IF(K14=0,'[4]Maintainability Score Summary'!$F$12,0)</f>
        <v>0</v>
      </c>
      <c r="N14" s="539"/>
    </row>
    <row r="15" spans="1:14" x14ac:dyDescent="0.35">
      <c r="A15" s="6">
        <v>1.3</v>
      </c>
      <c r="B15" s="7" t="str">
        <f>'[3]Maintainability Score Summary'!$B$13</f>
        <v>Curtain Wall: Glazing/ Others</v>
      </c>
      <c r="C15" s="366"/>
      <c r="D15" s="366"/>
      <c r="E15" s="366"/>
      <c r="F15" s="366"/>
      <c r="G15" s="551"/>
      <c r="H15" s="258"/>
      <c r="I15" s="258"/>
      <c r="K15" s="539"/>
      <c r="L15" s="539"/>
      <c r="M15" s="539"/>
      <c r="N15" s="539"/>
    </row>
    <row r="16" spans="1:14" x14ac:dyDescent="0.35">
      <c r="A16" s="6">
        <v>1.4</v>
      </c>
      <c r="B16" s="7" t="str">
        <f>'[3]Maintainability Score Summary'!$B$14</f>
        <v>Masonry and Lightweight Concrete Panels</v>
      </c>
      <c r="C16" s="366"/>
      <c r="D16" s="366"/>
      <c r="E16" s="366"/>
      <c r="F16" s="366"/>
      <c r="G16" s="551"/>
      <c r="H16" s="258"/>
      <c r="I16" s="258"/>
      <c r="K16" s="539"/>
      <c r="L16" s="539"/>
      <c r="M16" s="539"/>
      <c r="N16" s="539"/>
    </row>
    <row r="17" spans="1:14" x14ac:dyDescent="0.35">
      <c r="A17" s="561" t="str">
        <f>'[3]Maintainability Score Summary'!$A$15</f>
        <v>Part C - Others</v>
      </c>
      <c r="B17" s="562"/>
      <c r="C17" s="534">
        <f>'[3]Maintainability Score Summary'!$E$15</f>
        <v>8.5</v>
      </c>
      <c r="D17" s="534"/>
      <c r="E17" s="534">
        <f t="shared" ref="E17:E66" si="2">MAX(K17:N17)</f>
        <v>0</v>
      </c>
      <c r="F17" s="534"/>
      <c r="G17" s="276" t="str">
        <f>IF(OR(G18="",G19="",G20=""),"",SUM(G18:G20))</f>
        <v/>
      </c>
      <c r="H17" s="258"/>
      <c r="I17" s="258"/>
      <c r="K17" s="533">
        <f>'[3]Maintainability Score Summary'!$F$15</f>
        <v>0</v>
      </c>
      <c r="L17" s="533"/>
      <c r="M17" s="533">
        <f>IF(K17=0,'[4]Maintainability Score Summary'!$F$15,0)</f>
        <v>0</v>
      </c>
      <c r="N17" s="533"/>
    </row>
    <row r="18" spans="1:14" x14ac:dyDescent="0.35">
      <c r="A18" s="6" t="s">
        <v>488</v>
      </c>
      <c r="B18" s="7" t="str">
        <f>'[3]Maintainability Score Summary'!$B$16</f>
        <v>Façade Features/ considerations</v>
      </c>
      <c r="C18" s="366">
        <f>'[3]Maintainability Score Summary'!$E$16</f>
        <v>3.5</v>
      </c>
      <c r="D18" s="366"/>
      <c r="E18" s="366">
        <f t="shared" si="2"/>
        <v>0</v>
      </c>
      <c r="F18" s="366"/>
      <c r="G18" s="280"/>
      <c r="H18" s="258"/>
      <c r="I18" s="258"/>
      <c r="K18" s="532">
        <f>'[3]Maintainability Score Summary'!$F$16</f>
        <v>0</v>
      </c>
      <c r="L18" s="532"/>
      <c r="M18" s="532">
        <f>IF(K18=0,'[4]Maintainability Score Summary'!$F$16,0)</f>
        <v>0</v>
      </c>
      <c r="N18" s="532"/>
    </row>
    <row r="19" spans="1:14" x14ac:dyDescent="0.35">
      <c r="A19" s="6" t="s">
        <v>489</v>
      </c>
      <c r="B19" s="7" t="str">
        <f>'[3]Maintainability Score Summary'!$B$17</f>
        <v>Entrance lobby</v>
      </c>
      <c r="C19" s="366">
        <f>'[3]Maintainability Score Summary'!$E$17</f>
        <v>3</v>
      </c>
      <c r="D19" s="366"/>
      <c r="E19" s="366">
        <f t="shared" si="2"/>
        <v>0</v>
      </c>
      <c r="F19" s="366"/>
      <c r="G19" s="280"/>
      <c r="H19" s="258"/>
      <c r="I19" s="258"/>
      <c r="K19" s="532">
        <f>'[3]Maintainability Score Summary'!$F$17</f>
        <v>0</v>
      </c>
      <c r="L19" s="532"/>
      <c r="M19" s="532">
        <f>IF(K19=0,'[4]Maintainability Score Summary'!$F$17,0)</f>
        <v>0</v>
      </c>
      <c r="N19" s="532"/>
    </row>
    <row r="20" spans="1:14" x14ac:dyDescent="0.35">
      <c r="A20" s="6" t="s">
        <v>490</v>
      </c>
      <c r="B20" s="7" t="str">
        <f>'[3]Maintainability Score Summary'!$B$18</f>
        <v>Roof</v>
      </c>
      <c r="C20" s="366">
        <f>'[3]Maintainability Score Summary'!$E$18</f>
        <v>2</v>
      </c>
      <c r="D20" s="366"/>
      <c r="E20" s="366">
        <f t="shared" si="2"/>
        <v>0</v>
      </c>
      <c r="F20" s="366"/>
      <c r="G20" s="280"/>
      <c r="H20" s="258"/>
      <c r="I20" s="258"/>
      <c r="K20" s="532">
        <f>'[3]Maintainability Score Summary'!$F$18</f>
        <v>0</v>
      </c>
      <c r="L20" s="532"/>
      <c r="M20" s="532">
        <f>IF(K20=0,'[4]Maintainability Score Summary'!$F$18,0)</f>
        <v>0</v>
      </c>
      <c r="N20" s="532"/>
    </row>
    <row r="21" spans="1:14" x14ac:dyDescent="0.35">
      <c r="A21" s="542" t="s">
        <v>491</v>
      </c>
      <c r="B21" s="542" t="s">
        <v>58</v>
      </c>
      <c r="C21" s="535">
        <f>'[3]Maintainability Score Summary'!$E$19</f>
        <v>19</v>
      </c>
      <c r="D21" s="535"/>
      <c r="E21" s="535">
        <f t="shared" si="2"/>
        <v>0</v>
      </c>
      <c r="F21" s="535"/>
      <c r="G21" s="274" t="str">
        <f>IF(OR(G22="",G23="",G24="",G25=""),"",SUM(G22:G25))</f>
        <v/>
      </c>
      <c r="H21" s="258"/>
      <c r="I21" s="258"/>
      <c r="K21" s="536">
        <f>'[3]Maintainability Score Summary'!$F$19</f>
        <v>0</v>
      </c>
      <c r="L21" s="535"/>
      <c r="M21" s="536">
        <f>IF(K21=0,'[4]Maintainability Score Summary'!$F$19,0)</f>
        <v>0</v>
      </c>
      <c r="N21" s="535"/>
    </row>
    <row r="22" spans="1:14" x14ac:dyDescent="0.35">
      <c r="A22" s="6">
        <v>2.1</v>
      </c>
      <c r="B22" s="9" t="str">
        <f>'[3]Maintainability Score Summary'!$B$20</f>
        <v>Floors</v>
      </c>
      <c r="C22" s="366">
        <f>'[3]Maintainability Score Summary'!$E$20</f>
        <v>2.5</v>
      </c>
      <c r="D22" s="366"/>
      <c r="E22" s="366">
        <f t="shared" si="2"/>
        <v>0</v>
      </c>
      <c r="F22" s="366"/>
      <c r="G22" s="280"/>
      <c r="H22" s="258"/>
      <c r="I22" s="258"/>
      <c r="K22" s="532">
        <f>'[3]Maintainability Score Summary'!$F$20</f>
        <v>0</v>
      </c>
      <c r="L22" s="366"/>
      <c r="M22" s="532">
        <f>IF(K22=0,'[4]Maintainability Score Summary'!$F$20,0)</f>
        <v>0</v>
      </c>
      <c r="N22" s="366"/>
    </row>
    <row r="23" spans="1:14" x14ac:dyDescent="0.35">
      <c r="A23" s="6">
        <v>2.2999999999999998</v>
      </c>
      <c r="B23" s="9" t="str">
        <f>'[3]Maintainability Score Summary'!$B$21</f>
        <v>Ceiling</v>
      </c>
      <c r="C23" s="366">
        <f>'[3]Maintainability Score Summary'!$E$21</f>
        <v>5</v>
      </c>
      <c r="D23" s="366"/>
      <c r="E23" s="366">
        <f t="shared" si="2"/>
        <v>0</v>
      </c>
      <c r="F23" s="366"/>
      <c r="G23" s="280"/>
      <c r="H23" s="258"/>
      <c r="I23" s="258"/>
      <c r="K23" s="532">
        <f>'[3]Maintainability Score Summary'!$F$21</f>
        <v>0</v>
      </c>
      <c r="L23" s="366"/>
      <c r="M23" s="532">
        <f>IF(K23=0,'[4]Maintainability Score Summary'!$F$22,0)</f>
        <v>0</v>
      </c>
      <c r="N23" s="366"/>
    </row>
    <row r="24" spans="1:14" x14ac:dyDescent="0.35">
      <c r="A24" s="6">
        <v>2.4</v>
      </c>
      <c r="B24" s="9" t="str">
        <f>'[3]Maintainability Score Summary'!$B$22</f>
        <v>Wet Rooms and Storage</v>
      </c>
      <c r="C24" s="366">
        <f>'[3]Maintainability Score Summary'!$E$22</f>
        <v>8</v>
      </c>
      <c r="D24" s="366"/>
      <c r="E24" s="366">
        <f t="shared" si="2"/>
        <v>0</v>
      </c>
      <c r="F24" s="366"/>
      <c r="G24" s="280"/>
      <c r="H24" s="258"/>
      <c r="I24" s="258"/>
      <c r="K24" s="532">
        <f>'[3]Maintainability Score Summary'!$F$22</f>
        <v>0</v>
      </c>
      <c r="L24" s="366"/>
      <c r="M24" s="532">
        <f>IF(K24=0,'[4]Maintainability Score Summary'!$F$23,0)</f>
        <v>0</v>
      </c>
      <c r="N24" s="366"/>
    </row>
    <row r="25" spans="1:14" x14ac:dyDescent="0.35">
      <c r="A25" s="6">
        <v>2.6</v>
      </c>
      <c r="B25" s="9" t="str">
        <f>'[3]Maintainability Score Summary'!$B$23</f>
        <v>Loading Bay/ Back of House Service Areas</v>
      </c>
      <c r="C25" s="366">
        <f>'[3]Maintainability Score Summary'!$E$23</f>
        <v>3.5</v>
      </c>
      <c r="D25" s="366"/>
      <c r="E25" s="366">
        <f t="shared" si="2"/>
        <v>0</v>
      </c>
      <c r="F25" s="366"/>
      <c r="G25" s="280"/>
      <c r="H25" s="258"/>
      <c r="I25" s="258"/>
      <c r="K25" s="532">
        <f>'[3]Maintainability Score Summary'!$F$23</f>
        <v>0</v>
      </c>
      <c r="L25" s="366"/>
      <c r="M25" s="532">
        <f>IF(K25=0,'[4]Maintainability Score Summary'!$F$25,0)</f>
        <v>0</v>
      </c>
      <c r="N25" s="366"/>
    </row>
    <row r="26" spans="1:14" x14ac:dyDescent="0.35">
      <c r="A26" s="542" t="s">
        <v>492</v>
      </c>
      <c r="B26" s="542"/>
      <c r="C26" s="535">
        <f>'[3]Maintainability Score Summary'!$E$24</f>
        <v>27</v>
      </c>
      <c r="D26" s="535"/>
      <c r="E26" s="535">
        <f t="shared" si="2"/>
        <v>0</v>
      </c>
      <c r="F26" s="535"/>
      <c r="G26" s="274" t="str">
        <f>IF(OR(G27="",G30=""),"",G27+G30)</f>
        <v/>
      </c>
      <c r="H26" s="258"/>
      <c r="I26" s="258"/>
      <c r="K26" s="536">
        <f>'[3]Maintainability Score Summary'!$F$24</f>
        <v>0</v>
      </c>
      <c r="L26" s="535"/>
      <c r="M26" s="536">
        <f>IF(K26=0,'[4]Maintainability Score Summary'!$F$26,0)</f>
        <v>0</v>
      </c>
      <c r="N26" s="535"/>
    </row>
    <row r="27" spans="1:14" x14ac:dyDescent="0.35">
      <c r="A27" s="561" t="str">
        <f>'[3]Maintainability Score Summary'!$A$25</f>
        <v>Part A - Cooling Systems</v>
      </c>
      <c r="B27" s="562"/>
      <c r="C27" s="534">
        <f>'[3]Maintainability Score Summary'!$E$25</f>
        <v>13.5</v>
      </c>
      <c r="D27" s="534"/>
      <c r="E27" s="534">
        <f t="shared" si="2"/>
        <v>0</v>
      </c>
      <c r="F27" s="534"/>
      <c r="G27" s="276" t="str">
        <f>IF(OR(G28="",G29=""),"",SUM(G28:G29))</f>
        <v/>
      </c>
      <c r="H27" s="258"/>
      <c r="I27" s="258"/>
      <c r="K27" s="533">
        <f>'[3]Maintainability Score Summary'!$F$25</f>
        <v>0</v>
      </c>
      <c r="L27" s="534"/>
      <c r="M27" s="533">
        <f>IF(K27=0,'[4]Maintainability Score Summary'!$F$27,0)</f>
        <v>0</v>
      </c>
      <c r="N27" s="534"/>
    </row>
    <row r="28" spans="1:14" x14ac:dyDescent="0.35">
      <c r="A28" s="6">
        <v>3.1</v>
      </c>
      <c r="B28" s="9" t="str">
        <f>'[3]Maintainability Score Summary'!$B$26</f>
        <v>Chiller Plant</v>
      </c>
      <c r="C28" s="366">
        <f>'[3]Maintainability Score Summary'!$E$26</f>
        <v>13.5</v>
      </c>
      <c r="D28" s="366"/>
      <c r="E28" s="366">
        <f t="shared" si="2"/>
        <v>0</v>
      </c>
      <c r="F28" s="366"/>
      <c r="G28" s="280"/>
      <c r="H28" s="258"/>
      <c r="I28" s="258"/>
      <c r="K28" s="532">
        <f>'[3]Maintainability Score Summary'!$F$26</f>
        <v>0</v>
      </c>
      <c r="L28" s="366"/>
      <c r="M28" s="532">
        <f>IF(K28=0,'[4]Maintainability Score Summary'!$F$28,0)</f>
        <v>0</v>
      </c>
      <c r="N28" s="366"/>
    </row>
    <row r="29" spans="1:14" x14ac:dyDescent="0.35">
      <c r="A29" s="6">
        <v>3.2</v>
      </c>
      <c r="B29" s="9" t="str">
        <f>'[3]Maintainability Score Summary'!$B$27</f>
        <v>VRF</v>
      </c>
      <c r="C29" s="366">
        <f>'[3]Maintainability Score Summary'!$E$27</f>
        <v>1.5</v>
      </c>
      <c r="D29" s="366"/>
      <c r="E29" s="366">
        <f t="shared" si="2"/>
        <v>0</v>
      </c>
      <c r="F29" s="366"/>
      <c r="G29" s="280"/>
      <c r="H29" s="258"/>
      <c r="I29" s="258"/>
      <c r="K29" s="532">
        <f>'[3]Maintainability Score Summary'!$F$27</f>
        <v>0</v>
      </c>
      <c r="L29" s="366"/>
      <c r="M29" s="532">
        <f>IF(K29=0,'[4]Maintainability Score Summary'!$F$29,0)</f>
        <v>0</v>
      </c>
      <c r="N29" s="366"/>
    </row>
    <row r="30" spans="1:14" x14ac:dyDescent="0.35">
      <c r="A30" s="561" t="str">
        <f>'[3]Maintainability Score Summary'!$A$28</f>
        <v>Part B - Other systems</v>
      </c>
      <c r="B30" s="562"/>
      <c r="C30" s="534">
        <f>'[3]Maintainability Score Summary'!$E$28</f>
        <v>13.5</v>
      </c>
      <c r="D30" s="534"/>
      <c r="E30" s="534">
        <f t="shared" si="2"/>
        <v>0</v>
      </c>
      <c r="F30" s="534"/>
      <c r="G30" s="276" t="str">
        <f>IF(OR(G31="",G32="",G33="",G34=""),"",SUM(G31:G34))</f>
        <v/>
      </c>
      <c r="H30" s="258"/>
      <c r="I30" s="258"/>
      <c r="K30" s="533">
        <f>'[3]Maintainability Score Summary'!$F$28</f>
        <v>0</v>
      </c>
      <c r="L30" s="534"/>
      <c r="M30" s="533">
        <f>IF(K30=0,'[4]Maintainability Score Summary'!$F$30,0)</f>
        <v>0</v>
      </c>
      <c r="N30" s="534"/>
    </row>
    <row r="31" spans="1:14" x14ac:dyDescent="0.35">
      <c r="A31" s="6">
        <v>3.3</v>
      </c>
      <c r="B31" s="9" t="str">
        <f>'[3]Maintainability Score Summary'!$B$29</f>
        <v>Air Distribution System</v>
      </c>
      <c r="C31" s="366">
        <f>'[3]Maintainability Score Summary'!$E$29</f>
        <v>8</v>
      </c>
      <c r="D31" s="366"/>
      <c r="E31" s="366">
        <f t="shared" si="2"/>
        <v>0</v>
      </c>
      <c r="F31" s="366"/>
      <c r="G31" s="280"/>
      <c r="H31" s="258"/>
      <c r="I31" s="258"/>
      <c r="K31" s="532">
        <f>'[3]Maintainability Score Summary'!$F$29</f>
        <v>0</v>
      </c>
      <c r="L31" s="366"/>
      <c r="M31" s="532">
        <f>IF(K31=0,'[4]Maintainability Score Summary'!$F$31,0)</f>
        <v>0</v>
      </c>
      <c r="N31" s="366"/>
    </row>
    <row r="32" spans="1:14" x14ac:dyDescent="0.35">
      <c r="A32" s="6">
        <v>3.4</v>
      </c>
      <c r="B32" s="9" t="str">
        <f>'[3]Maintainability Score Summary'!$B$30</f>
        <v>Domestic Water Supply</v>
      </c>
      <c r="C32" s="366">
        <f>'[3]Maintainability Score Summary'!$E$30</f>
        <v>0.5</v>
      </c>
      <c r="D32" s="366"/>
      <c r="E32" s="366">
        <f t="shared" si="2"/>
        <v>0</v>
      </c>
      <c r="F32" s="366"/>
      <c r="G32" s="280"/>
      <c r="H32" s="258"/>
      <c r="I32" s="258"/>
      <c r="K32" s="532">
        <f>'[3]Maintainability Score Summary'!$F$30</f>
        <v>0</v>
      </c>
      <c r="L32" s="366"/>
      <c r="M32" s="532">
        <f>IF(K32=0,'[4]Maintainability Score Summary'!$F$32,0)</f>
        <v>0</v>
      </c>
      <c r="N32" s="366"/>
    </row>
    <row r="33" spans="1:14" x14ac:dyDescent="0.35">
      <c r="A33" s="6">
        <v>3.5</v>
      </c>
      <c r="B33" s="9" t="str">
        <f>'[3]Maintainability Score Summary'!$B$31</f>
        <v>Sanitary System</v>
      </c>
      <c r="C33" s="366">
        <f>'[3]Maintainability Score Summary'!$E$31</f>
        <v>1.5</v>
      </c>
      <c r="D33" s="366"/>
      <c r="E33" s="366">
        <f t="shared" si="2"/>
        <v>0</v>
      </c>
      <c r="F33" s="366"/>
      <c r="G33" s="280"/>
      <c r="H33" s="258"/>
      <c r="I33" s="258"/>
      <c r="K33" s="532">
        <f>'[3]Maintainability Score Summary'!$F$31</f>
        <v>0</v>
      </c>
      <c r="L33" s="366"/>
      <c r="M33" s="532">
        <f>IF(K33=0,'[4]Maintainability Score Summary'!$F$33,0)</f>
        <v>0</v>
      </c>
      <c r="N33" s="366"/>
    </row>
    <row r="34" spans="1:14" x14ac:dyDescent="0.35">
      <c r="A34" s="6">
        <v>3.6</v>
      </c>
      <c r="B34" s="9" t="str">
        <f>'[3]Maintainability Score Summary'!$B$32</f>
        <v>Fire Protection System</v>
      </c>
      <c r="C34" s="366">
        <f>'[3]Maintainability Score Summary'!$E$32</f>
        <v>3.5</v>
      </c>
      <c r="D34" s="366"/>
      <c r="E34" s="366">
        <f t="shared" si="2"/>
        <v>0</v>
      </c>
      <c r="F34" s="366"/>
      <c r="G34" s="280"/>
      <c r="H34" s="258"/>
      <c r="I34" s="258"/>
      <c r="K34" s="532">
        <f>'[3]Maintainability Score Summary'!$F$32</f>
        <v>0</v>
      </c>
      <c r="L34" s="366"/>
      <c r="M34" s="532">
        <f>IF(K34=0,'[4]Maintainability Score Summary'!$F$34,0)</f>
        <v>0</v>
      </c>
      <c r="N34" s="366"/>
    </row>
    <row r="35" spans="1:14" x14ac:dyDescent="0.35">
      <c r="A35" s="542" t="s">
        <v>493</v>
      </c>
      <c r="B35" s="542" t="s">
        <v>469</v>
      </c>
      <c r="C35" s="535">
        <f>'[3]Maintainability Score Summary'!$E$33</f>
        <v>10.5</v>
      </c>
      <c r="D35" s="535"/>
      <c r="E35" s="535">
        <f t="shared" si="2"/>
        <v>0</v>
      </c>
      <c r="F35" s="535"/>
      <c r="G35" s="274" t="str">
        <f>IF(OR(G36="",G37="",G38="",G39="",G40=""),"",SUM(G36:G40))</f>
        <v/>
      </c>
      <c r="H35" s="258"/>
      <c r="I35" s="258"/>
      <c r="K35" s="536">
        <f>'[3]Maintainability Score Summary'!$F$33</f>
        <v>0</v>
      </c>
      <c r="L35" s="535"/>
      <c r="M35" s="536">
        <f>IF(K35=0,'[4]Maintainability Score Summary'!$F$35,0)</f>
        <v>0</v>
      </c>
      <c r="N35" s="535"/>
    </row>
    <row r="36" spans="1:14" x14ac:dyDescent="0.35">
      <c r="A36" s="6">
        <v>4.0999999999999996</v>
      </c>
      <c r="B36" s="9" t="str">
        <f>'[3]Maintainability Score Summary'!$B$34</f>
        <v>Lighting System</v>
      </c>
      <c r="C36" s="366">
        <f>'[3]Maintainability Score Summary'!$E$34</f>
        <v>2</v>
      </c>
      <c r="D36" s="366"/>
      <c r="E36" s="366">
        <f t="shared" si="2"/>
        <v>0</v>
      </c>
      <c r="F36" s="366"/>
      <c r="G36" s="280"/>
      <c r="H36" s="258"/>
      <c r="I36" s="258"/>
      <c r="K36" s="532">
        <f>'[3]Maintainability Score Summary'!$F$34</f>
        <v>0</v>
      </c>
      <c r="L36" s="366"/>
      <c r="M36" s="532">
        <f>IF(K36=0,'[4]Maintainability Score Summary'!$F$36,0)</f>
        <v>0</v>
      </c>
      <c r="N36" s="366"/>
    </row>
    <row r="37" spans="1:14" x14ac:dyDescent="0.35">
      <c r="A37" s="6">
        <v>4.2</v>
      </c>
      <c r="B37" s="9" t="str">
        <f>'[3]Maintainability Score Summary'!$B$35</f>
        <v>Power Distribution System</v>
      </c>
      <c r="C37" s="366">
        <f>'[3]Maintainability Score Summary'!$E$35</f>
        <v>2.5</v>
      </c>
      <c r="D37" s="366"/>
      <c r="E37" s="366">
        <f t="shared" si="2"/>
        <v>0</v>
      </c>
      <c r="F37" s="366"/>
      <c r="G37" s="280"/>
      <c r="H37" s="258"/>
      <c r="I37" s="258"/>
      <c r="K37" s="532">
        <f>'[3]Maintainability Score Summary'!$F$35</f>
        <v>0</v>
      </c>
      <c r="L37" s="366"/>
      <c r="M37" s="532">
        <f>IF(K37=0,'[4]Maintainability Score Summary'!$F$37,0)</f>
        <v>0</v>
      </c>
      <c r="N37" s="366"/>
    </row>
    <row r="38" spans="1:14" x14ac:dyDescent="0.35">
      <c r="A38" s="6">
        <v>4.3</v>
      </c>
      <c r="B38" s="9" t="str">
        <f>'[3]Maintainability Score Summary'!$B$36</f>
        <v>Extra Low Voltage System</v>
      </c>
      <c r="C38" s="366">
        <f>'[3]Maintainability Score Summary'!$E$36</f>
        <v>3.5</v>
      </c>
      <c r="D38" s="366"/>
      <c r="E38" s="366">
        <f t="shared" si="2"/>
        <v>0</v>
      </c>
      <c r="F38" s="366"/>
      <c r="G38" s="280"/>
      <c r="H38" s="258"/>
      <c r="I38" s="258"/>
      <c r="K38" s="532">
        <f>'[3]Maintainability Score Summary'!$F$36</f>
        <v>0</v>
      </c>
      <c r="L38" s="366"/>
      <c r="M38" s="532">
        <f>IF(K38=0,'[4]Maintainability Score Summary'!$F$38,0)</f>
        <v>0</v>
      </c>
      <c r="N38" s="366"/>
    </row>
    <row r="39" spans="1:14" x14ac:dyDescent="0.35">
      <c r="A39" s="6">
        <v>4.4000000000000004</v>
      </c>
      <c r="B39" s="9" t="str">
        <f>'[3]Maintainability Score Summary'!$B$37</f>
        <v>Lightning Protection System</v>
      </c>
      <c r="C39" s="366">
        <f>'[3]Maintainability Score Summary'!$E$37</f>
        <v>1</v>
      </c>
      <c r="D39" s="366"/>
      <c r="E39" s="366">
        <f t="shared" si="2"/>
        <v>0</v>
      </c>
      <c r="F39" s="366"/>
      <c r="G39" s="280"/>
      <c r="H39" s="258"/>
      <c r="I39" s="258"/>
      <c r="K39" s="532">
        <f>'[3]Maintainability Score Summary'!$F$37</f>
        <v>0</v>
      </c>
      <c r="L39" s="366"/>
      <c r="M39" s="532">
        <f>IF(K39=0,'[4]Maintainability Score Summary'!$F$39,0)</f>
        <v>0</v>
      </c>
      <c r="N39" s="366"/>
    </row>
    <row r="40" spans="1:14" x14ac:dyDescent="0.35">
      <c r="A40" s="6">
        <v>4.5</v>
      </c>
      <c r="B40" s="9" t="str">
        <f>'[3]Maintainability Score Summary'!$B$38</f>
        <v>Vertical Transportation System</v>
      </c>
      <c r="C40" s="366">
        <f>'[3]Maintainability Score Summary'!$E$38</f>
        <v>1.5</v>
      </c>
      <c r="D40" s="366"/>
      <c r="E40" s="366">
        <f t="shared" si="2"/>
        <v>0</v>
      </c>
      <c r="F40" s="366"/>
      <c r="G40" s="280"/>
      <c r="H40" s="258"/>
      <c r="I40" s="258"/>
      <c r="K40" s="532">
        <f>'[3]Maintainability Score Summary'!$F$38</f>
        <v>0</v>
      </c>
      <c r="L40" s="366"/>
      <c r="M40" s="532">
        <f>IF(K40=0,'[4]Maintainability Score Summary'!$F$40,0)</f>
        <v>0</v>
      </c>
      <c r="N40" s="366"/>
    </row>
    <row r="41" spans="1:14" x14ac:dyDescent="0.35">
      <c r="A41" s="542" t="s">
        <v>494</v>
      </c>
      <c r="B41" s="542"/>
      <c r="C41" s="535">
        <f>'[3]Maintainability Score Summary'!$L$6</f>
        <v>10.5</v>
      </c>
      <c r="D41" s="535"/>
      <c r="E41" s="535">
        <f t="shared" si="2"/>
        <v>0</v>
      </c>
      <c r="F41" s="535"/>
      <c r="G41" s="274" t="str">
        <f>IF(OR(G42="",G43="",G44="",G45="",G46=""),"",SUM(G42:G46))</f>
        <v/>
      </c>
      <c r="H41" s="258"/>
      <c r="I41" s="258"/>
      <c r="K41" s="536">
        <f>'[3]Maintainability Score Summary'!$M$6</f>
        <v>0</v>
      </c>
      <c r="L41" s="535"/>
      <c r="M41" s="536">
        <f>IF(K41=0,'[4]Maintainability Score Summary'!$M$6,0)</f>
        <v>0</v>
      </c>
      <c r="N41" s="535"/>
    </row>
    <row r="42" spans="1:14" x14ac:dyDescent="0.35">
      <c r="A42" s="6">
        <v>5.0999999999999996</v>
      </c>
      <c r="B42" s="9" t="str">
        <f>'[3]Maintainability Score Summary'!$I$7</f>
        <v>Softscape</v>
      </c>
      <c r="C42" s="366">
        <f>'[3]Maintainability Score Summary'!$L$7</f>
        <v>2</v>
      </c>
      <c r="D42" s="366"/>
      <c r="E42" s="366">
        <f t="shared" si="2"/>
        <v>0</v>
      </c>
      <c r="F42" s="366"/>
      <c r="G42" s="280"/>
      <c r="H42" s="258"/>
      <c r="I42" s="258"/>
      <c r="K42" s="532">
        <f>'[3]Maintainability Score Summary'!$M$7</f>
        <v>0</v>
      </c>
      <c r="L42" s="366"/>
      <c r="M42" s="532">
        <f>IF(K42=0,'[4]Maintainability Score Summary'!$M$7,0)</f>
        <v>0</v>
      </c>
      <c r="N42" s="366"/>
    </row>
    <row r="43" spans="1:14" x14ac:dyDescent="0.35">
      <c r="A43" s="6">
        <v>5.2</v>
      </c>
      <c r="B43" s="9" t="str">
        <f>'[3]Maintainability Score Summary'!$I$8</f>
        <v>Hardscape</v>
      </c>
      <c r="C43" s="366">
        <f>'[3]Maintainability Score Summary'!$L$8</f>
        <v>3</v>
      </c>
      <c r="D43" s="366"/>
      <c r="E43" s="366">
        <f t="shared" si="2"/>
        <v>0</v>
      </c>
      <c r="F43" s="366"/>
      <c r="G43" s="280"/>
      <c r="H43" s="258"/>
      <c r="I43" s="258"/>
      <c r="K43" s="532">
        <f>'[3]Maintainability Score Summary'!$M$8</f>
        <v>0</v>
      </c>
      <c r="L43" s="366"/>
      <c r="M43" s="532">
        <f>IF(K43=0,'[4]Maintainability Score Summary'!$M$8,0)</f>
        <v>0</v>
      </c>
      <c r="N43" s="366"/>
    </row>
    <row r="44" spans="1:14" x14ac:dyDescent="0.35">
      <c r="A44" s="6">
        <v>5.3</v>
      </c>
      <c r="B44" s="9" t="str">
        <f>'[3]Maintainability Score Summary'!$I$9</f>
        <v>Vertical Greenery</v>
      </c>
      <c r="C44" s="366">
        <f>'[3]Maintainability Score Summary'!$L$9</f>
        <v>0.5</v>
      </c>
      <c r="D44" s="366"/>
      <c r="E44" s="366">
        <f t="shared" si="2"/>
        <v>0</v>
      </c>
      <c r="F44" s="366"/>
      <c r="G44" s="280"/>
      <c r="H44" s="258"/>
      <c r="I44" s="258"/>
      <c r="K44" s="532">
        <f>'[3]Maintainability Score Summary'!$M$9</f>
        <v>0</v>
      </c>
      <c r="L44" s="366"/>
      <c r="M44" s="532">
        <f>IF(K44=0,'[4]Maintainability Score Summary'!$M$9,0)</f>
        <v>0</v>
      </c>
      <c r="N44" s="366"/>
    </row>
    <row r="45" spans="1:14" x14ac:dyDescent="0.35">
      <c r="A45" s="6">
        <v>5.4</v>
      </c>
      <c r="B45" s="9" t="str">
        <f>'[3]Maintainability Score Summary'!$I$10</f>
        <v>Roof, Sky Terraces, Planter boxes on building edge/façade</v>
      </c>
      <c r="C45" s="366">
        <f>'[3]Maintainability Score Summary'!$L$10</f>
        <v>3</v>
      </c>
      <c r="D45" s="366"/>
      <c r="E45" s="366">
        <f t="shared" si="2"/>
        <v>0</v>
      </c>
      <c r="F45" s="366"/>
      <c r="G45" s="280"/>
      <c r="H45" s="258"/>
      <c r="I45" s="258"/>
      <c r="K45" s="532">
        <f>'[3]Maintainability Score Summary'!$M$10</f>
        <v>0</v>
      </c>
      <c r="L45" s="366"/>
      <c r="M45" s="532">
        <f>IF(K45=0,'[4]Maintainability Score Summary'!$M$10,0)</f>
        <v>0</v>
      </c>
      <c r="N45" s="366"/>
    </row>
    <row r="46" spans="1:14" x14ac:dyDescent="0.35">
      <c r="A46" s="6">
        <v>5.5</v>
      </c>
      <c r="B46" s="9" t="str">
        <f>'[3]Maintainability Score Summary'!$I$11</f>
        <v>Standalone Structures</v>
      </c>
      <c r="C46" s="366">
        <f>'[3]Maintainability Score Summary'!$L$11</f>
        <v>2</v>
      </c>
      <c r="D46" s="366"/>
      <c r="E46" s="366">
        <f t="shared" si="2"/>
        <v>0</v>
      </c>
      <c r="F46" s="366"/>
      <c r="G46" s="280"/>
      <c r="H46" s="258"/>
      <c r="I46" s="258"/>
      <c r="K46" s="532">
        <f>'[3]Maintainability Score Summary'!$M$11</f>
        <v>0</v>
      </c>
      <c r="L46" s="366"/>
      <c r="M46" s="532">
        <f>IF(K46=0,'[4]Maintainability Score Summary'!$M$11,0)</f>
        <v>0</v>
      </c>
      <c r="N46" s="366"/>
    </row>
    <row r="47" spans="1:14" x14ac:dyDescent="0.35">
      <c r="A47" s="542" t="s">
        <v>495</v>
      </c>
      <c r="B47" s="542"/>
      <c r="C47" s="535">
        <f>'[3]Maintainability Score Summary'!$L$12</f>
        <v>11</v>
      </c>
      <c r="D47" s="535"/>
      <c r="E47" s="535">
        <f t="shared" si="2"/>
        <v>0</v>
      </c>
      <c r="F47" s="535"/>
      <c r="G47" s="274" t="str">
        <f>IF(OR(G48="",G49=""),"",SUM(G48:G49))</f>
        <v/>
      </c>
      <c r="H47" s="258"/>
      <c r="I47" s="258"/>
      <c r="K47" s="536">
        <f>'[3]Maintainability Score Summary'!$M$12</f>
        <v>0</v>
      </c>
      <c r="L47" s="535"/>
      <c r="M47" s="536">
        <f>IF(K47=0,'[4]Maintainability Score Summary'!$M$12,0)</f>
        <v>0</v>
      </c>
      <c r="N47" s="535"/>
    </row>
    <row r="48" spans="1:14" x14ac:dyDescent="0.35">
      <c r="A48" s="6">
        <v>6.1</v>
      </c>
      <c r="B48" s="9" t="str">
        <f>'[3]Maintainability Score Summary'!$I$13</f>
        <v>Cybersecurity</v>
      </c>
      <c r="C48" s="366">
        <f>'[3]Maintainability Score Summary'!$L$13</f>
        <v>1</v>
      </c>
      <c r="D48" s="366"/>
      <c r="E48" s="366">
        <f t="shared" si="2"/>
        <v>0</v>
      </c>
      <c r="F48" s="366"/>
      <c r="G48" s="280"/>
      <c r="H48" s="258"/>
      <c r="I48" s="258"/>
      <c r="K48" s="532">
        <f>'[3]Maintainability Score Summary'!$M$13</f>
        <v>0</v>
      </c>
      <c r="L48" s="366"/>
      <c r="M48" s="532">
        <f>IF(K48=0,'[4]Maintainability Score Summary'!$M$13,0)</f>
        <v>0</v>
      </c>
      <c r="N48" s="366"/>
    </row>
    <row r="49" spans="1:14" x14ac:dyDescent="0.35">
      <c r="A49" s="6">
        <v>6.2</v>
      </c>
      <c r="B49" s="9" t="str">
        <f>'[3]Maintainability Score Summary'!$I$14</f>
        <v>Adoption of Smart FM solutions</v>
      </c>
      <c r="C49" s="366">
        <f>'[3]Maintainability Score Summary'!$L$14</f>
        <v>10</v>
      </c>
      <c r="D49" s="366"/>
      <c r="E49" s="366">
        <f t="shared" si="2"/>
        <v>0</v>
      </c>
      <c r="F49" s="366"/>
      <c r="G49" s="280"/>
      <c r="H49" s="258"/>
      <c r="I49" s="258"/>
      <c r="K49" s="532">
        <f>'[3]Maintainability Score Summary'!$M$14</f>
        <v>0</v>
      </c>
      <c r="L49" s="366"/>
      <c r="M49" s="532">
        <f>IF(K49=0,'[4]Maintainability Score Summary'!$M$14,0)</f>
        <v>0</v>
      </c>
      <c r="N49" s="366"/>
    </row>
    <row r="50" spans="1:14" x14ac:dyDescent="0.35">
      <c r="A50" s="542" t="s">
        <v>496</v>
      </c>
      <c r="B50" s="542"/>
      <c r="C50" s="535">
        <f>'[3]Maintainability Score Summary'!$L$15</f>
        <v>10.5</v>
      </c>
      <c r="D50" s="535"/>
      <c r="E50" s="535">
        <f t="shared" si="2"/>
        <v>0</v>
      </c>
      <c r="F50" s="535"/>
      <c r="G50" s="274" t="str">
        <f>IF(OR(G51="",G52="",G53="",G54=""),"",SUM(G51:G54))</f>
        <v/>
      </c>
      <c r="H50" s="258"/>
      <c r="I50" s="258"/>
      <c r="K50" s="536">
        <f>'[3]Maintainability Score Summary'!$M$15</f>
        <v>0</v>
      </c>
      <c r="L50" s="535"/>
      <c r="M50" s="536">
        <f>IF(K50=0,'[4]Maintainability Score Summary'!$M$15,0)</f>
        <v>0</v>
      </c>
      <c r="N50" s="535"/>
    </row>
    <row r="51" spans="1:14" x14ac:dyDescent="0.35">
      <c r="A51" s="6">
        <v>7.1</v>
      </c>
      <c r="B51" s="9" t="str">
        <f>'[3]Maintainability Score Summary'!$I$16</f>
        <v>Central Computer</v>
      </c>
      <c r="C51" s="366">
        <f>'[3]Maintainability Score Summary'!$L$16</f>
        <v>2</v>
      </c>
      <c r="D51" s="366"/>
      <c r="E51" s="366">
        <f t="shared" si="2"/>
        <v>0</v>
      </c>
      <c r="F51" s="366"/>
      <c r="G51" s="280"/>
      <c r="H51" s="258"/>
      <c r="I51" s="258"/>
      <c r="K51" s="532">
        <f>'[3]Maintainability Score Summary'!$M$16</f>
        <v>0</v>
      </c>
      <c r="L51" s="366"/>
      <c r="M51" s="532">
        <f>IF(K51=0,'[4]Maintainability Score Summary'!$M$16,0)</f>
        <v>0</v>
      </c>
      <c r="N51" s="366"/>
    </row>
    <row r="52" spans="1:14" x14ac:dyDescent="0.35">
      <c r="A52" s="6">
        <v>7.2</v>
      </c>
      <c r="B52" s="9" t="str">
        <f>'[3]Maintainability Score Summary'!$I$17</f>
        <v>Software Integration</v>
      </c>
      <c r="C52" s="366">
        <f>'[3]Maintainability Score Summary'!$L$17</f>
        <v>4</v>
      </c>
      <c r="D52" s="366"/>
      <c r="E52" s="366">
        <f t="shared" si="2"/>
        <v>0</v>
      </c>
      <c r="F52" s="366"/>
      <c r="G52" s="280"/>
      <c r="H52" s="258"/>
      <c r="I52" s="258"/>
      <c r="K52" s="532">
        <f>'[3]Maintainability Score Summary'!$M$17</f>
        <v>0</v>
      </c>
      <c r="L52" s="366"/>
      <c r="M52" s="532">
        <f>IF(K52=0,'[4]Maintainability Score Summary'!$M$17,0)</f>
        <v>0</v>
      </c>
      <c r="N52" s="366"/>
    </row>
    <row r="53" spans="1:14" x14ac:dyDescent="0.35">
      <c r="A53" s="6">
        <v>7.3</v>
      </c>
      <c r="B53" s="9" t="str">
        <f>'[3]Maintainability Score Summary'!$I$18</f>
        <v>Controllers</v>
      </c>
      <c r="C53" s="366">
        <f>'[3]Maintainability Score Summary'!$L$18</f>
        <v>2.5</v>
      </c>
      <c r="D53" s="366"/>
      <c r="E53" s="366">
        <f t="shared" si="2"/>
        <v>0</v>
      </c>
      <c r="F53" s="366"/>
      <c r="G53" s="280"/>
      <c r="H53" s="258"/>
      <c r="I53" s="258"/>
      <c r="K53" s="532">
        <f>'[3]Maintainability Score Summary'!$M$18</f>
        <v>0</v>
      </c>
      <c r="L53" s="366"/>
      <c r="M53" s="532">
        <f>IF(K53=0,'[4]Maintainability Score Summary'!$M$18,0)</f>
        <v>0</v>
      </c>
      <c r="N53" s="366"/>
    </row>
    <row r="54" spans="1:14" x14ac:dyDescent="0.35">
      <c r="A54" s="6">
        <v>7.4</v>
      </c>
      <c r="B54" s="9" t="str">
        <f>'[3]Maintainability Score Summary'!$I$19</f>
        <v>Integration with M&amp;E systems</v>
      </c>
      <c r="C54" s="366">
        <f>'[3]Maintainability Score Summary'!$L$19</f>
        <v>2</v>
      </c>
      <c r="D54" s="366"/>
      <c r="E54" s="366">
        <f t="shared" si="2"/>
        <v>0</v>
      </c>
      <c r="F54" s="366"/>
      <c r="G54" s="280"/>
      <c r="H54" s="258"/>
      <c r="I54" s="258"/>
      <c r="K54" s="532">
        <f>'[3]Maintainability Score Summary'!$M$19</f>
        <v>0</v>
      </c>
      <c r="L54" s="366"/>
      <c r="M54" s="532">
        <f>IF(K54=0,'[4]Maintainability Score Summary'!$M$19,0)</f>
        <v>0</v>
      </c>
      <c r="N54" s="366"/>
    </row>
    <row r="55" spans="1:14" x14ac:dyDescent="0.35">
      <c r="A55" s="542" t="s">
        <v>497</v>
      </c>
      <c r="B55" s="542"/>
      <c r="C55" s="535">
        <f>'[3]Maintainability Score Summary'!$L$20</f>
        <v>12.5</v>
      </c>
      <c r="D55" s="535"/>
      <c r="E55" s="535">
        <f t="shared" si="2"/>
        <v>0</v>
      </c>
      <c r="F55" s="535"/>
      <c r="G55" s="274" t="str">
        <f>IF(OR(G56="",G59=""),"",G56+G59)</f>
        <v/>
      </c>
      <c r="H55" s="258"/>
      <c r="I55" s="258"/>
      <c r="K55" s="536">
        <f>'[3]Maintainability Score Summary'!$M$20</f>
        <v>0</v>
      </c>
      <c r="L55" s="535"/>
      <c r="M55" s="536">
        <f>IF(K55=0,'[4]Maintainability Score Summary'!$M$20,0)</f>
        <v>0</v>
      </c>
      <c r="N55" s="535"/>
    </row>
    <row r="56" spans="1:14" x14ac:dyDescent="0.35">
      <c r="A56" s="561" t="str">
        <f>'[3]Maintainability Score Summary'!$H$21</f>
        <v>Part A - Asset Management</v>
      </c>
      <c r="B56" s="562"/>
      <c r="C56" s="534">
        <f>'[3]Maintainability Score Summary'!$L$21</f>
        <v>3</v>
      </c>
      <c r="D56" s="534"/>
      <c r="E56" s="534">
        <f t="shared" si="2"/>
        <v>0</v>
      </c>
      <c r="F56" s="534"/>
      <c r="G56" s="276" t="str">
        <f>IF(OR(G57="",G58=""),"",SUM(G57:G58))</f>
        <v/>
      </c>
      <c r="H56" s="258"/>
      <c r="I56" s="258"/>
      <c r="K56" s="533">
        <f>'[3]Maintainability Score Summary'!$M$21</f>
        <v>0</v>
      </c>
      <c r="L56" s="534"/>
      <c r="M56" s="533">
        <f>IF(K56=0,'[4]Maintainability Score Summary'!$M$21,0)</f>
        <v>0</v>
      </c>
      <c r="N56" s="534"/>
    </row>
    <row r="57" spans="1:14" x14ac:dyDescent="0.35">
      <c r="A57" s="6">
        <v>8.1</v>
      </c>
      <c r="B57" s="9" t="str">
        <f>'[3]Maintainability Score Summary'!$I$22</f>
        <v>Failure Analysis</v>
      </c>
      <c r="C57" s="366">
        <f>'[3]Maintainability Score Summary'!$L$22</f>
        <v>1.5</v>
      </c>
      <c r="D57" s="366"/>
      <c r="E57" s="366">
        <f t="shared" si="2"/>
        <v>0</v>
      </c>
      <c r="F57" s="366"/>
      <c r="G57" s="280"/>
      <c r="H57" s="258"/>
      <c r="I57" s="258"/>
      <c r="K57" s="532">
        <f>'[3]Maintainability Score Summary'!$M$22</f>
        <v>0</v>
      </c>
      <c r="L57" s="366"/>
      <c r="M57" s="532">
        <f>IF(K57=0,'[4]Maintainability Score Summary'!$M$22,0)</f>
        <v>0</v>
      </c>
      <c r="N57" s="366"/>
    </row>
    <row r="58" spans="1:14" x14ac:dyDescent="0.35">
      <c r="A58" s="6">
        <v>8.1999999999999993</v>
      </c>
      <c r="B58" s="9" t="str">
        <f>'[3]Maintainability Score Summary'!$I$23</f>
        <v>Life Cycle Management</v>
      </c>
      <c r="C58" s="366">
        <f>'[3]Maintainability Score Summary'!$L$23</f>
        <v>1.5</v>
      </c>
      <c r="D58" s="366"/>
      <c r="E58" s="366">
        <f t="shared" si="2"/>
        <v>0</v>
      </c>
      <c r="F58" s="366"/>
      <c r="G58" s="280"/>
      <c r="H58" s="258"/>
      <c r="I58" s="258"/>
      <c r="K58" s="532">
        <f>'[3]Maintainability Score Summary'!$M$23</f>
        <v>0</v>
      </c>
      <c r="L58" s="366"/>
      <c r="M58" s="532">
        <f>IF(K58=0,'[4]Maintainability Score Summary'!$M$23,0)</f>
        <v>0</v>
      </c>
      <c r="N58" s="366"/>
    </row>
    <row r="59" spans="1:14" x14ac:dyDescent="0.35">
      <c r="A59" s="561" t="str">
        <f>'[3]Maintainability Score Summary'!$H$24</f>
        <v>Part B - Operations Management and Supply Chain Management</v>
      </c>
      <c r="B59" s="562"/>
      <c r="C59" s="534">
        <f>'[3]Maintainability Score Summary'!$L$24</f>
        <v>9.5</v>
      </c>
      <c r="D59" s="534"/>
      <c r="E59" s="534">
        <f t="shared" si="2"/>
        <v>0</v>
      </c>
      <c r="F59" s="534"/>
      <c r="G59" s="276" t="str">
        <f>IF(OR(G60="",G61="",G62="",G63=""),"",SUM(G60:G63))</f>
        <v/>
      </c>
      <c r="H59" s="258"/>
      <c r="I59" s="258"/>
      <c r="K59" s="533">
        <f>'[3]Maintainability Score Summary'!$M$24</f>
        <v>0</v>
      </c>
      <c r="L59" s="534"/>
      <c r="M59" s="533">
        <f>IF(K59=0,'[4]Maintainability Score Summary'!$M$24,0)</f>
        <v>0</v>
      </c>
      <c r="N59" s="534"/>
    </row>
    <row r="60" spans="1:14" x14ac:dyDescent="0.35">
      <c r="A60" s="6">
        <v>8.3000000000000007</v>
      </c>
      <c r="B60" s="9" t="str">
        <f>'[3]Maintainability Score Summary'!$I$25</f>
        <v>Service Management</v>
      </c>
      <c r="C60" s="366">
        <f>'[3]Maintainability Score Summary'!$L$25</f>
        <v>2.5</v>
      </c>
      <c r="D60" s="366"/>
      <c r="E60" s="366">
        <f t="shared" si="2"/>
        <v>0</v>
      </c>
      <c r="F60" s="366"/>
      <c r="G60" s="280"/>
      <c r="H60" s="258"/>
      <c r="I60" s="258"/>
      <c r="K60" s="532">
        <f>'[3]Maintainability Score Summary'!$M$25</f>
        <v>0</v>
      </c>
      <c r="L60" s="366"/>
      <c r="M60" s="532">
        <f>IF(K60=0,'[4]Maintainability Score Summary'!$M$25,0)</f>
        <v>0</v>
      </c>
      <c r="N60" s="366"/>
    </row>
    <row r="61" spans="1:14" x14ac:dyDescent="0.35">
      <c r="A61" s="6">
        <v>8.4</v>
      </c>
      <c r="B61" s="9" t="str">
        <f>'[3]Maintainability Score Summary'!$I$26</f>
        <v>Maintenance Management</v>
      </c>
      <c r="C61" s="366">
        <f>'[3]Maintainability Score Summary'!$L$26</f>
        <v>1.5</v>
      </c>
      <c r="D61" s="366"/>
      <c r="E61" s="366">
        <f t="shared" si="2"/>
        <v>0</v>
      </c>
      <c r="F61" s="366"/>
      <c r="G61" s="280"/>
      <c r="H61" s="258"/>
      <c r="I61" s="258"/>
      <c r="K61" s="532">
        <f>'[3]Maintainability Score Summary'!$M$26</f>
        <v>0</v>
      </c>
      <c r="L61" s="366"/>
      <c r="M61" s="532">
        <f>IF(K61=0,'[4]Maintainability Score Summary'!$M$26,0)</f>
        <v>0</v>
      </c>
      <c r="N61" s="366"/>
    </row>
    <row r="62" spans="1:14" x14ac:dyDescent="0.35">
      <c r="A62" s="6">
        <v>8.5</v>
      </c>
      <c r="B62" s="9" t="str">
        <f>'[3]Maintainability Score Summary'!$I$27</f>
        <v>Other General Services</v>
      </c>
      <c r="C62" s="366">
        <f>'[3]Maintainability Score Summary'!$L$27</f>
        <v>1</v>
      </c>
      <c r="D62" s="366"/>
      <c r="E62" s="366">
        <f t="shared" si="2"/>
        <v>0</v>
      </c>
      <c r="F62" s="366"/>
      <c r="G62" s="280"/>
      <c r="H62" s="258"/>
      <c r="I62" s="258"/>
      <c r="K62" s="532">
        <f>'[3]Maintainability Score Summary'!$M$27</f>
        <v>0</v>
      </c>
      <c r="L62" s="366"/>
      <c r="M62" s="532">
        <f>IF(K62=0,'[4]Maintainability Score Summary'!$M$27,0)</f>
        <v>0</v>
      </c>
      <c r="N62" s="366"/>
    </row>
    <row r="63" spans="1:14" x14ac:dyDescent="0.35">
      <c r="A63" s="6">
        <v>8.6</v>
      </c>
      <c r="B63" s="9" t="str">
        <f>'[3]Maintainability Score Summary'!$I$28</f>
        <v>Supply Chain Management</v>
      </c>
      <c r="C63" s="366">
        <f>'[3]Maintainability Score Summary'!$L$28</f>
        <v>4.5</v>
      </c>
      <c r="D63" s="366"/>
      <c r="E63" s="366">
        <f t="shared" si="2"/>
        <v>0</v>
      </c>
      <c r="F63" s="366"/>
      <c r="G63" s="280"/>
      <c r="H63" s="258"/>
      <c r="I63" s="258"/>
      <c r="K63" s="532">
        <f>'[3]Maintainability Score Summary'!$M$28</f>
        <v>0</v>
      </c>
      <c r="L63" s="366"/>
      <c r="M63" s="532">
        <f>IF(K63=0,'[4]Maintainability Score Summary'!$M$28,0)</f>
        <v>0</v>
      </c>
      <c r="N63" s="366"/>
    </row>
    <row r="64" spans="1:14" x14ac:dyDescent="0.35">
      <c r="A64" s="542" t="s">
        <v>498</v>
      </c>
      <c r="B64" s="542"/>
      <c r="C64" s="535">
        <v>3</v>
      </c>
      <c r="D64" s="535"/>
      <c r="E64" s="535">
        <f t="shared" si="2"/>
        <v>0</v>
      </c>
      <c r="F64" s="535"/>
      <c r="G64" s="274" t="str">
        <f>IF(OR(G65="",G66=""),"",SUM(G65:G66))</f>
        <v/>
      </c>
      <c r="H64" s="258"/>
      <c r="I64" s="258"/>
      <c r="K64" s="535">
        <f>SUM(K65:K66)</f>
        <v>0</v>
      </c>
      <c r="L64" s="535"/>
      <c r="M64" s="535">
        <f>SUM(M65:M66)</f>
        <v>0</v>
      </c>
      <c r="N64" s="535"/>
    </row>
    <row r="65" spans="1:14" x14ac:dyDescent="0.35">
      <c r="A65" s="8"/>
      <c r="B65" s="9" t="s">
        <v>499</v>
      </c>
      <c r="C65" s="366">
        <f>'[3]Maintainability Score Summary'!$L$30</f>
        <v>2</v>
      </c>
      <c r="D65" s="366"/>
      <c r="E65" s="366">
        <f t="shared" si="2"/>
        <v>0</v>
      </c>
      <c r="F65" s="366"/>
      <c r="G65" s="280"/>
      <c r="H65" s="258"/>
      <c r="I65" s="258"/>
      <c r="K65" s="532">
        <f>'[3]Maintainability Score Summary'!$M$30</f>
        <v>0</v>
      </c>
      <c r="L65" s="366"/>
      <c r="M65" s="532">
        <f>IF(K65=0,'[4]Maintainability Score Summary'!$M$30,0)</f>
        <v>0</v>
      </c>
      <c r="N65" s="366"/>
    </row>
    <row r="66" spans="1:14" x14ac:dyDescent="0.35">
      <c r="A66" s="8"/>
      <c r="B66" s="9" t="s">
        <v>500</v>
      </c>
      <c r="C66" s="366">
        <f>'[3]Maintainability Score Summary'!$L$31</f>
        <v>1</v>
      </c>
      <c r="D66" s="366"/>
      <c r="E66" s="366">
        <f t="shared" si="2"/>
        <v>0</v>
      </c>
      <c r="F66" s="366"/>
      <c r="G66" s="280"/>
      <c r="H66" s="258"/>
      <c r="I66" s="258"/>
      <c r="K66" s="532">
        <f>'[3]Maintainability Score Summary'!$M$31</f>
        <v>0</v>
      </c>
      <c r="L66" s="366"/>
      <c r="M66" s="532">
        <f>IF(K66=0,'[4]Maintainability Score Summary'!$M$31,0)</f>
        <v>0</v>
      </c>
      <c r="N66" s="366"/>
    </row>
    <row r="67" spans="1:14" s="1" customFormat="1" x14ac:dyDescent="0.35">
      <c r="A67" s="14"/>
      <c r="B67" s="16" t="s">
        <v>501</v>
      </c>
      <c r="C67" s="526" t="str">
        <f>IF(J67=0,IF(OR(G55="",G50="",G47="",G41="",G35="",G26="",G21="",G10="",G8=""),"",G55+G50+G47+G41+G35+G26+G21+G10+G8),J67)</f>
        <v/>
      </c>
      <c r="D67" s="537"/>
      <c r="E67" s="537"/>
      <c r="F67" s="537"/>
      <c r="G67" s="527"/>
      <c r="H67" s="258"/>
      <c r="I67" s="282"/>
      <c r="J67" s="284">
        <f>MAX(K67:N67)</f>
        <v>0</v>
      </c>
      <c r="K67" s="554">
        <f>'[3]Maintainability Score Summary'!$K$36</f>
        <v>0</v>
      </c>
      <c r="L67" s="554"/>
      <c r="M67" s="554">
        <f>IF(K67=0,'[4]Maintainability Score Summary'!$K$36,0)</f>
        <v>0</v>
      </c>
      <c r="N67" s="554"/>
    </row>
    <row r="68" spans="1:14" s="1" customFormat="1" x14ac:dyDescent="0.35">
      <c r="A68" s="14"/>
      <c r="B68" s="16" t="s">
        <v>502</v>
      </c>
      <c r="C68" s="528">
        <f>MAX(K68:N68)</f>
        <v>0</v>
      </c>
      <c r="D68" s="544"/>
      <c r="E68" s="544"/>
      <c r="F68" s="544"/>
      <c r="G68" s="280"/>
      <c r="H68" s="258"/>
      <c r="I68" s="282"/>
      <c r="J68" s="285"/>
      <c r="K68" s="526">
        <f>'[3]Maintainability Score Summary'!$K$38</f>
        <v>0</v>
      </c>
      <c r="L68" s="527"/>
      <c r="M68" s="526">
        <f>IF(K68=0,'[4]Maintainability Score Summary'!$K$38,0)</f>
        <v>0</v>
      </c>
      <c r="N68" s="527"/>
    </row>
    <row r="69" spans="1:14" s="1" customFormat="1" x14ac:dyDescent="0.35">
      <c r="A69" s="14"/>
      <c r="B69" s="277" t="s">
        <v>503</v>
      </c>
      <c r="C69" s="528">
        <f>MAX(K69:N69)</f>
        <v>0</v>
      </c>
      <c r="D69" s="544"/>
      <c r="E69" s="544"/>
      <c r="F69" s="544"/>
      <c r="G69" s="278" t="str">
        <f>IF(OR(G65="",G66="",C67=""),"",IF(C67=J70,G65+G66,""))</f>
        <v/>
      </c>
      <c r="H69" s="258"/>
      <c r="I69" s="282"/>
      <c r="J69" s="285"/>
      <c r="K69" s="526">
        <f>'[3]Maintainability Score Summary'!$N$36</f>
        <v>0</v>
      </c>
      <c r="L69" s="537"/>
      <c r="M69" s="528">
        <f>IF(K69=0,'[4]Maintainability Score Summary'!$N$36,0)</f>
        <v>0</v>
      </c>
      <c r="N69" s="528"/>
    </row>
    <row r="70" spans="1:14" s="1" customFormat="1" x14ac:dyDescent="0.35">
      <c r="A70" s="14"/>
      <c r="B70" s="540" t="s">
        <v>504</v>
      </c>
      <c r="C70" s="528" t="s">
        <v>505</v>
      </c>
      <c r="D70" s="528"/>
      <c r="E70" s="529">
        <f>MAX(K70:N70)</f>
        <v>0</v>
      </c>
      <c r="F70" s="529"/>
      <c r="G70" s="278">
        <f>IF(OR(C67="",G64=""),0,IF(C67=J70,(C67/(124-G68))*124,0))</f>
        <v>0</v>
      </c>
      <c r="H70" s="258"/>
      <c r="I70" s="282"/>
      <c r="J70" s="286" t="str">
        <f>IF(OR(G55="",G50="",G47="",G41="",G35="",G26="",G21="",G10="",G8=""),"",G55+G50+G47+G41+G35+G26+G21+G10+G8)</f>
        <v/>
      </c>
      <c r="K70" s="529">
        <f>'[3]Maintainability Score Summary'!$K$39</f>
        <v>0</v>
      </c>
      <c r="L70" s="529"/>
      <c r="M70" s="529">
        <f>IF(K70=0,'[4]Maintainability Score Summary'!$K$39,0)</f>
        <v>0</v>
      </c>
      <c r="N70" s="529"/>
    </row>
    <row r="71" spans="1:14" s="1" customFormat="1" x14ac:dyDescent="0.35">
      <c r="A71" s="14"/>
      <c r="B71" s="541"/>
      <c r="C71" s="528" t="s">
        <v>506</v>
      </c>
      <c r="D71" s="528"/>
      <c r="E71" s="529">
        <f>MAX(K71:N71)</f>
        <v>0</v>
      </c>
      <c r="F71" s="529"/>
      <c r="G71" s="283">
        <f>IF(OR(G70="",G69=""),0,G70+G69)</f>
        <v>0</v>
      </c>
      <c r="H71" s="258"/>
      <c r="I71" s="282"/>
      <c r="J71" s="285"/>
      <c r="K71" s="529">
        <f>'[3]Maintainability Score Summary'!$M$39</f>
        <v>0</v>
      </c>
      <c r="L71" s="529"/>
      <c r="M71" s="529">
        <f>IF(K71=0,'[4]Maintainability Score Summary'!$M$39,0)</f>
        <v>0</v>
      </c>
      <c r="N71" s="529"/>
    </row>
    <row r="72" spans="1:14" x14ac:dyDescent="0.35">
      <c r="A72" s="14"/>
      <c r="B72" s="16" t="s">
        <v>507</v>
      </c>
      <c r="C72" s="544">
        <f>IF(K72="",IF(M72="",K72,M72))</f>
        <v>0</v>
      </c>
      <c r="D72" s="544"/>
      <c r="E72" s="544"/>
      <c r="F72" s="544"/>
      <c r="G72" s="279"/>
      <c r="H72" s="258"/>
      <c r="I72" s="258"/>
      <c r="J72" s="13">
        <f>IF(AND(C72="",G72=""),"",IF(C72="",G72,C72))</f>
        <v>0</v>
      </c>
      <c r="K72" s="530" t="str">
        <f>'[3]Maintainability Score Summary'!$M$49</f>
        <v/>
      </c>
      <c r="L72" s="531"/>
      <c r="M72" s="530">
        <f>IF(K72=0,'[4]Maintainability Score Summary'!$M$49,0)</f>
        <v>0</v>
      </c>
      <c r="N72" s="531"/>
    </row>
    <row r="73" spans="1:14" x14ac:dyDescent="0.35">
      <c r="A73" s="14"/>
      <c r="B73" s="15" t="s">
        <v>508</v>
      </c>
      <c r="C73" s="526">
        <f>IF(J73=0,IF(G71=0,0,IF(G71/6&gt;15,15,G71/6)),J73)</f>
        <v>0</v>
      </c>
      <c r="D73" s="537"/>
      <c r="E73" s="537"/>
      <c r="F73" s="537"/>
      <c r="G73" s="527"/>
      <c r="H73" s="258"/>
      <c r="I73" s="258"/>
      <c r="J73" s="286">
        <f>MAX(K73:N73)</f>
        <v>0</v>
      </c>
      <c r="K73" s="557">
        <f>'[3]Maintainability Score Summary'!$M$43</f>
        <v>0</v>
      </c>
      <c r="L73" s="557"/>
      <c r="M73" s="557">
        <f>IF(K73=0,'[4]Maintainability Score Summary'!$M$43,0)</f>
        <v>0</v>
      </c>
      <c r="N73" s="557"/>
    </row>
    <row r="74" spans="1:14" x14ac:dyDescent="0.35">
      <c r="A74" s="14"/>
      <c r="B74" s="15" t="s">
        <v>509</v>
      </c>
      <c r="C74" s="543" t="str">
        <f>IF(AND(C73=0,G71=""),"",IF(AND(C73&gt;=10,J72="Y"),"Yes","No"))</f>
        <v>No</v>
      </c>
      <c r="D74" s="543"/>
      <c r="E74" s="543"/>
      <c r="F74" s="543"/>
      <c r="G74" s="543"/>
      <c r="H74" s="258"/>
      <c r="I74" s="258"/>
      <c r="J74" t="str">
        <f>'[3]Maintainability Score Summary'!$M$45</f>
        <v/>
      </c>
    </row>
  </sheetData>
  <sheetProtection algorithmName="SHA-512" hashValue="M6xIfnILc00ZpINgw76Yy0U7CfA/u2IvlGvsPYHznZEKPeMETD+mZNh6aeSi5hCEoZwpmZN3NWpfe7JpvHo9Ww==" saltValue="AXBY55x0F0MpGtL++eBsrg==" spinCount="100000" sheet="1" formatCells="0" selectLockedCells="1"/>
  <mergeCells count="283">
    <mergeCell ref="K73:L73"/>
    <mergeCell ref="M73:N73"/>
    <mergeCell ref="A2:G2"/>
    <mergeCell ref="A11:B11"/>
    <mergeCell ref="A17:B17"/>
    <mergeCell ref="A13:B13"/>
    <mergeCell ref="A27:B27"/>
    <mergeCell ref="A30:B30"/>
    <mergeCell ref="A56:B56"/>
    <mergeCell ref="A59:B59"/>
    <mergeCell ref="C63:D63"/>
    <mergeCell ref="E63:F63"/>
    <mergeCell ref="C58:D58"/>
    <mergeCell ref="E58:F58"/>
    <mergeCell ref="C59:D59"/>
    <mergeCell ref="E59:F59"/>
    <mergeCell ref="C60:D60"/>
    <mergeCell ref="E60:F60"/>
    <mergeCell ref="C61:D61"/>
    <mergeCell ref="E61:F61"/>
    <mergeCell ref="C62:D62"/>
    <mergeCell ref="E62:F62"/>
    <mergeCell ref="A55:B55"/>
    <mergeCell ref="C55:D55"/>
    <mergeCell ref="E56:F56"/>
    <mergeCell ref="C57:D57"/>
    <mergeCell ref="E57:F57"/>
    <mergeCell ref="K67:L67"/>
    <mergeCell ref="M67:N67"/>
    <mergeCell ref="A7:B7"/>
    <mergeCell ref="C12:D12"/>
    <mergeCell ref="C20:D20"/>
    <mergeCell ref="A41:B41"/>
    <mergeCell ref="A47:B47"/>
    <mergeCell ref="A64:B64"/>
    <mergeCell ref="C30:D30"/>
    <mergeCell ref="E35:F35"/>
    <mergeCell ref="C35:D35"/>
    <mergeCell ref="C26:D26"/>
    <mergeCell ref="A8:B8"/>
    <mergeCell ref="A10:B10"/>
    <mergeCell ref="A21:B21"/>
    <mergeCell ref="A26:B26"/>
    <mergeCell ref="A35:B35"/>
    <mergeCell ref="C41:D41"/>
    <mergeCell ref="C29:D29"/>
    <mergeCell ref="C34:D34"/>
    <mergeCell ref="C38:D38"/>
    <mergeCell ref="C28:D28"/>
    <mergeCell ref="E28:F28"/>
    <mergeCell ref="E27:F27"/>
    <mergeCell ref="E34:F34"/>
    <mergeCell ref="C36:D36"/>
    <mergeCell ref="C6:D6"/>
    <mergeCell ref="C7:D7"/>
    <mergeCell ref="C8:D8"/>
    <mergeCell ref="C9:D9"/>
    <mergeCell ref="C10:D10"/>
    <mergeCell ref="C11:D11"/>
    <mergeCell ref="C13:D13"/>
    <mergeCell ref="C17:D17"/>
    <mergeCell ref="C27:D27"/>
    <mergeCell ref="C25:D25"/>
    <mergeCell ref="C22:D22"/>
    <mergeCell ref="C23:D23"/>
    <mergeCell ref="C18:D18"/>
    <mergeCell ref="C19:D19"/>
    <mergeCell ref="C14:D16"/>
    <mergeCell ref="C21:D21"/>
    <mergeCell ref="C24:D24"/>
    <mergeCell ref="E6:F6"/>
    <mergeCell ref="E7:F7"/>
    <mergeCell ref="E8:F8"/>
    <mergeCell ref="E10:F10"/>
    <mergeCell ref="E21:F21"/>
    <mergeCell ref="E26:F26"/>
    <mergeCell ref="E11:F11"/>
    <mergeCell ref="E13:F13"/>
    <mergeCell ref="E17:F17"/>
    <mergeCell ref="E14:F16"/>
    <mergeCell ref="E25:F25"/>
    <mergeCell ref="E9:F9"/>
    <mergeCell ref="E22:F22"/>
    <mergeCell ref="E23:F23"/>
    <mergeCell ref="E20:F20"/>
    <mergeCell ref="E12:F12"/>
    <mergeCell ref="E18:F18"/>
    <mergeCell ref="E19:F19"/>
    <mergeCell ref="E24:F24"/>
    <mergeCell ref="A3:G3"/>
    <mergeCell ref="A4:G4"/>
    <mergeCell ref="G14:G16"/>
    <mergeCell ref="C66:D66"/>
    <mergeCell ref="E66:F66"/>
    <mergeCell ref="C68:F68"/>
    <mergeCell ref="C72:F72"/>
    <mergeCell ref="C65:D65"/>
    <mergeCell ref="E65:F65"/>
    <mergeCell ref="C64:D64"/>
    <mergeCell ref="E64:F64"/>
    <mergeCell ref="C48:D48"/>
    <mergeCell ref="E48:F48"/>
    <mergeCell ref="C49:D49"/>
    <mergeCell ref="E49:F49"/>
    <mergeCell ref="C45:D45"/>
    <mergeCell ref="E45:F45"/>
    <mergeCell ref="C46:D46"/>
    <mergeCell ref="E46:F46"/>
    <mergeCell ref="C47:D47"/>
    <mergeCell ref="E47:F47"/>
    <mergeCell ref="C42:D42"/>
    <mergeCell ref="E42:F42"/>
    <mergeCell ref="C43:D43"/>
    <mergeCell ref="C74:G74"/>
    <mergeCell ref="C67:G67"/>
    <mergeCell ref="C69:F69"/>
    <mergeCell ref="E43:F43"/>
    <mergeCell ref="C44:D44"/>
    <mergeCell ref="E44:F44"/>
    <mergeCell ref="E38:F38"/>
    <mergeCell ref="C39:D39"/>
    <mergeCell ref="E39:F39"/>
    <mergeCell ref="C40:D40"/>
    <mergeCell ref="E40:F40"/>
    <mergeCell ref="E41:F41"/>
    <mergeCell ref="C50:D50"/>
    <mergeCell ref="E50:F50"/>
    <mergeCell ref="C51:D51"/>
    <mergeCell ref="E51:F51"/>
    <mergeCell ref="C52:D52"/>
    <mergeCell ref="E52:F52"/>
    <mergeCell ref="C53:D53"/>
    <mergeCell ref="E53:F53"/>
    <mergeCell ref="C54:D54"/>
    <mergeCell ref="E54:F54"/>
    <mergeCell ref="E55:F55"/>
    <mergeCell ref="C56:D56"/>
    <mergeCell ref="K28:L28"/>
    <mergeCell ref="K29:L29"/>
    <mergeCell ref="K30:L30"/>
    <mergeCell ref="K31:L31"/>
    <mergeCell ref="K32:L32"/>
    <mergeCell ref="K24:L24"/>
    <mergeCell ref="C73:G73"/>
    <mergeCell ref="B70:B71"/>
    <mergeCell ref="C70:D70"/>
    <mergeCell ref="C71:D71"/>
    <mergeCell ref="E70:F70"/>
    <mergeCell ref="E71:F71"/>
    <mergeCell ref="E36:F36"/>
    <mergeCell ref="C37:D37"/>
    <mergeCell ref="E37:F37"/>
    <mergeCell ref="E29:F29"/>
    <mergeCell ref="C31:D31"/>
    <mergeCell ref="E31:F31"/>
    <mergeCell ref="C32:D32"/>
    <mergeCell ref="E32:F32"/>
    <mergeCell ref="C33:D33"/>
    <mergeCell ref="E33:F33"/>
    <mergeCell ref="E30:F30"/>
    <mergeCell ref="A50:B50"/>
    <mergeCell ref="K17:L17"/>
    <mergeCell ref="K18:L18"/>
    <mergeCell ref="K19:L19"/>
    <mergeCell ref="K20:L20"/>
    <mergeCell ref="K21:L21"/>
    <mergeCell ref="K22:L22"/>
    <mergeCell ref="K23:L23"/>
    <mergeCell ref="K51:L51"/>
    <mergeCell ref="K52:L52"/>
    <mergeCell ref="K42:L42"/>
    <mergeCell ref="K43:L43"/>
    <mergeCell ref="K44:L44"/>
    <mergeCell ref="K45:L45"/>
    <mergeCell ref="K46:L46"/>
    <mergeCell ref="K47:L47"/>
    <mergeCell ref="K48:L48"/>
    <mergeCell ref="K49:L49"/>
    <mergeCell ref="K50:L50"/>
    <mergeCell ref="K33:L33"/>
    <mergeCell ref="K34:L34"/>
    <mergeCell ref="K35:L35"/>
    <mergeCell ref="K36:L36"/>
    <mergeCell ref="K37:L37"/>
    <mergeCell ref="K38:L38"/>
    <mergeCell ref="K6:L6"/>
    <mergeCell ref="K7:L7"/>
    <mergeCell ref="K8:L8"/>
    <mergeCell ref="K9:L9"/>
    <mergeCell ref="K10:L10"/>
    <mergeCell ref="K11:L11"/>
    <mergeCell ref="K12:L12"/>
    <mergeCell ref="K13:L13"/>
    <mergeCell ref="K14:L16"/>
    <mergeCell ref="K71:L71"/>
    <mergeCell ref="K68:L68"/>
    <mergeCell ref="K69:L69"/>
    <mergeCell ref="K72:L72"/>
    <mergeCell ref="M6:N6"/>
    <mergeCell ref="M7:N7"/>
    <mergeCell ref="M8:N8"/>
    <mergeCell ref="M9:N9"/>
    <mergeCell ref="M10:N10"/>
    <mergeCell ref="M11:N11"/>
    <mergeCell ref="M12:N12"/>
    <mergeCell ref="M13:N13"/>
    <mergeCell ref="M14:N16"/>
    <mergeCell ref="M17:N17"/>
    <mergeCell ref="M18:N18"/>
    <mergeCell ref="M19:N19"/>
    <mergeCell ref="M20:N20"/>
    <mergeCell ref="M21:N21"/>
    <mergeCell ref="M22:N22"/>
    <mergeCell ref="K60:L60"/>
    <mergeCell ref="K61:L61"/>
    <mergeCell ref="K62:L62"/>
    <mergeCell ref="K63:L63"/>
    <mergeCell ref="K64:L64"/>
    <mergeCell ref="M23:N23"/>
    <mergeCell ref="M24:N24"/>
    <mergeCell ref="M25:N25"/>
    <mergeCell ref="M26:N26"/>
    <mergeCell ref="M27:N27"/>
    <mergeCell ref="M28:N28"/>
    <mergeCell ref="M29:N29"/>
    <mergeCell ref="M30:N30"/>
    <mergeCell ref="K70:L70"/>
    <mergeCell ref="K65:L65"/>
    <mergeCell ref="K66:L66"/>
    <mergeCell ref="K53:L53"/>
    <mergeCell ref="K54:L54"/>
    <mergeCell ref="K55:L55"/>
    <mergeCell ref="K56:L56"/>
    <mergeCell ref="K57:L57"/>
    <mergeCell ref="K58:L58"/>
    <mergeCell ref="K59:L59"/>
    <mergeCell ref="K39:L39"/>
    <mergeCell ref="K40:L40"/>
    <mergeCell ref="K41:L41"/>
    <mergeCell ref="K25:L25"/>
    <mergeCell ref="K26:L26"/>
    <mergeCell ref="K27:L27"/>
    <mergeCell ref="M31:N31"/>
    <mergeCell ref="M32:N32"/>
    <mergeCell ref="M33:N33"/>
    <mergeCell ref="M34:N34"/>
    <mergeCell ref="M35:N35"/>
    <mergeCell ref="M36:N36"/>
    <mergeCell ref="M37:N37"/>
    <mergeCell ref="M38:N38"/>
    <mergeCell ref="M39:N39"/>
    <mergeCell ref="M40:N40"/>
    <mergeCell ref="M41:N41"/>
    <mergeCell ref="M42:N42"/>
    <mergeCell ref="M43:N43"/>
    <mergeCell ref="M44:N44"/>
    <mergeCell ref="M45:N45"/>
    <mergeCell ref="M46:N46"/>
    <mergeCell ref="M47:N47"/>
    <mergeCell ref="M48:N48"/>
    <mergeCell ref="M49:N49"/>
    <mergeCell ref="M50:N50"/>
    <mergeCell ref="M51:N51"/>
    <mergeCell ref="M52:N52"/>
    <mergeCell ref="M53:N53"/>
    <mergeCell ref="M54:N54"/>
    <mergeCell ref="M55:N55"/>
    <mergeCell ref="M56:N56"/>
    <mergeCell ref="M57:N57"/>
    <mergeCell ref="M68:N68"/>
    <mergeCell ref="M69:N69"/>
    <mergeCell ref="M70:N70"/>
    <mergeCell ref="M71:N71"/>
    <mergeCell ref="M72:N72"/>
    <mergeCell ref="M58:N58"/>
    <mergeCell ref="M59:N59"/>
    <mergeCell ref="M60:N60"/>
    <mergeCell ref="M61:N61"/>
    <mergeCell ref="M62:N62"/>
    <mergeCell ref="M63:N63"/>
    <mergeCell ref="M64:N64"/>
    <mergeCell ref="M65:N65"/>
    <mergeCell ref="M66:N66"/>
  </mergeCells>
  <dataValidations count="15">
    <dataValidation type="decimal" allowBlank="1" showInputMessage="1" showErrorMessage="1" sqref="K31:N31 K9:N9 K24:N24" xr:uid="{00000000-0002-0000-0700-000000000000}">
      <formula1>0</formula1>
      <formula2>8</formula2>
    </dataValidation>
    <dataValidation type="decimal" allowBlank="1" showInputMessage="1" showErrorMessage="1" sqref="K40:N40 K33:N33 K25:N25 K29:N29 K57:N58 K61:N61" xr:uid="{00000000-0002-0000-0700-000001000000}">
      <formula1>0</formula1>
      <formula2>1.5</formula2>
    </dataValidation>
    <dataValidation type="decimal" allowBlank="1" showInputMessage="1" showErrorMessage="1" sqref="M14 E14 K52:N52 K14" xr:uid="{00000000-0002-0000-0700-000002000000}">
      <formula1>0</formula1>
      <formula2>4</formula2>
    </dataValidation>
    <dataValidation type="decimal" allowBlank="1" showInputMessage="1" showErrorMessage="1" sqref="K19:N19 K12:N12 K34:N34 K45:N45" xr:uid="{00000000-0002-0000-0700-000003000000}">
      <formula1>0</formula1>
      <formula2>3</formula2>
    </dataValidation>
    <dataValidation type="decimal" allowBlank="1" showInputMessage="1" showErrorMessage="1" sqref="K22:N22 K36:N37 K43:N43 K46:N46 K53:N53 K60:N60" xr:uid="{00000000-0002-0000-0700-000004000000}">
      <formula1>0</formula1>
      <formula2>2.5</formula2>
    </dataValidation>
    <dataValidation type="decimal" allowBlank="1" showInputMessage="1" showErrorMessage="1" sqref="K48:N48 K39:N39 K62:N62 K66:N66" xr:uid="{00000000-0002-0000-0700-000005000000}">
      <formula1>0</formula1>
      <formula2>1</formula2>
    </dataValidation>
    <dataValidation type="decimal" allowBlank="1" showInputMessage="1" showErrorMessage="1" sqref="K27:N27 K56:N56" xr:uid="{00000000-0002-0000-0700-000006000000}">
      <formula1>0</formula1>
      <formula2>9.5</formula2>
    </dataValidation>
    <dataValidation type="decimal" allowBlank="1" showInputMessage="1" showErrorMessage="1" sqref="K20:N20 K42:N42 K51:N51 K54:N54 K65:N65" xr:uid="{00000000-0002-0000-0700-000007000000}">
      <formula1>0</formula1>
      <formula2>2</formula2>
    </dataValidation>
    <dataValidation type="decimal" allowBlank="1" showInputMessage="1" showErrorMessage="1" sqref="K38:N38 K18:N18" xr:uid="{00000000-0002-0000-0700-000008000000}">
      <formula1>0</formula1>
      <formula2>3.5</formula2>
    </dataValidation>
    <dataValidation type="decimal" allowBlank="1" showInputMessage="1" showErrorMessage="1" sqref="K23:N23 K63:N63" xr:uid="{00000000-0002-0000-0700-000009000000}">
      <formula1>0</formula1>
      <formula2>4.5</formula2>
    </dataValidation>
    <dataValidation type="decimal" allowBlank="1" showInputMessage="1" showErrorMessage="1" sqref="K28:N28" xr:uid="{00000000-0002-0000-0700-00000A000000}">
      <formula1>0</formula1>
      <formula2>13.5</formula2>
    </dataValidation>
    <dataValidation type="decimal" allowBlank="1" showInputMessage="1" showErrorMessage="1" sqref="K32:N32 K44:N44" xr:uid="{00000000-0002-0000-0700-00000B000000}">
      <formula1>0</formula1>
      <formula2>0.5</formula2>
    </dataValidation>
    <dataValidation type="decimal" allowBlank="1" showInputMessage="1" showErrorMessage="1" sqref="K49:N49" xr:uid="{00000000-0002-0000-0700-00000C000000}">
      <formula1>0</formula1>
      <formula2>10</formula2>
    </dataValidation>
    <dataValidation type="decimal" allowBlank="1" showInputMessage="1" showErrorMessage="1" sqref="G9 G12 G14:G16 G65:G66 G18:G20 G28:G29 G31:G34 G36:G40 G42:G46 G48:G49 G51:G54 G57:G58 G60:G63 G22:G25" xr:uid="{00000000-0002-0000-0700-00000D000000}">
      <formula1>0</formula1>
      <formula2>C9</formula2>
    </dataValidation>
    <dataValidation type="list" allowBlank="1" showInputMessage="1" showErrorMessage="1" sqref="G72" xr:uid="{00000000-0002-0000-0700-00000E000000}">
      <formula1>"Y,N"</formula1>
    </dataValidation>
  </dataValidations>
  <pageMargins left="0.7" right="0.7" top="0.75" bottom="0.75" header="0.3" footer="0.3"/>
  <pageSetup paperSize="9" orientation="portrait" r:id="rId1"/>
  <drawing r:id="rId2"/>
  <legacyDrawing r:id="rId3"/>
  <oleObjects>
    <mc:AlternateContent xmlns:mc="http://schemas.openxmlformats.org/markup-compatibility/2006">
      <mc:Choice Requires="x14">
        <oleObject progId="Worksheet" dvAspect="DVASPECT_ICON" shapeId="5123" r:id="rId4">
          <objectPr defaultSize="0" autoPict="0" r:id="rId5">
            <anchor moveWithCells="1">
              <from>
                <xdr:col>0</xdr:col>
                <xdr:colOff>0</xdr:colOff>
                <xdr:row>2</xdr:row>
                <xdr:rowOff>57150</xdr:rowOff>
              </from>
              <to>
                <xdr:col>1</xdr:col>
                <xdr:colOff>342900</xdr:colOff>
                <xdr:row>2</xdr:row>
                <xdr:rowOff>1047750</xdr:rowOff>
              </to>
            </anchor>
          </objectPr>
        </oleObject>
      </mc:Choice>
      <mc:Fallback>
        <oleObject progId="Worksheet" dvAspect="DVASPECT_ICON" shapeId="5123"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F817A334131254FA24ACFAEA9B0C38B" ma:contentTypeVersion="6" ma:contentTypeDescription="Create a new document." ma:contentTypeScope="" ma:versionID="a220c38f19a4d2a545e8a5ed07723315">
  <xsd:schema xmlns:xsd="http://www.w3.org/2001/XMLSchema" xmlns:xs="http://www.w3.org/2001/XMLSchema" xmlns:p="http://schemas.microsoft.com/office/2006/metadata/properties" xmlns:ns2="877456d8-1210-4b15-ac98-75c3938124b0" xmlns:ns3="769e7733-098f-4952-a7c5-eba28e214a4c" targetNamespace="http://schemas.microsoft.com/office/2006/metadata/properties" ma:root="true" ma:fieldsID="42cd16539c784b1341d472c0d14a8e3d" ns2:_="" ns3:_="">
    <xsd:import namespace="877456d8-1210-4b15-ac98-75c3938124b0"/>
    <xsd:import namespace="769e7733-098f-4952-a7c5-eba28e214a4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7456d8-1210-4b15-ac98-75c3938124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9e7733-098f-4952-a7c5-eba28e214a4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215C53-2C22-4219-8C9B-71B7E8AB1640}">
  <ds:schemaRefs>
    <ds:schemaRef ds:uri="http://purl.org/dc/elements/1.1/"/>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http://purl.org/dc/terms/"/>
    <ds:schemaRef ds:uri="89986424-938e-4f2a-9e21-28607cbc0c5b"/>
    <ds:schemaRef ds:uri="11f24c7f-c62d-4ad5-9a96-5376cfba1c82"/>
    <ds:schemaRef ds:uri="http://schemas.microsoft.com/office/2006/metadata/properties"/>
  </ds:schemaRefs>
</ds:datastoreItem>
</file>

<file path=customXml/itemProps2.xml><?xml version="1.0" encoding="utf-8"?>
<ds:datastoreItem xmlns:ds="http://schemas.openxmlformats.org/officeDocument/2006/customXml" ds:itemID="{1BE94172-C800-4331-BA83-4E1E248DB6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7456d8-1210-4b15-ac98-75c3938124b0"/>
    <ds:schemaRef ds:uri="769e7733-098f-4952-a7c5-eba28e214a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38BA46-8BCF-4149-8A3B-5291AA55F5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1. Project Details</vt:lpstr>
      <vt:lpstr>2. Summary</vt:lpstr>
      <vt:lpstr>3. Energy Efficiency</vt:lpstr>
      <vt:lpstr>4. Resilience</vt:lpstr>
      <vt:lpstr>5. Whole Life Carbon</vt:lpstr>
      <vt:lpstr>6. Health&amp;Wellbeing</vt:lpstr>
      <vt:lpstr>7. Intelligence</vt:lpstr>
      <vt:lpstr>8. Maintainability</vt:lpstr>
      <vt:lpstr>'4. Resilience'!Print_Area</vt:lpstr>
      <vt:lpstr>'8. Maintainability'!Print_Area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Weng Kin HO (BCA)</dc:creator>
  <cp:keywords/>
  <dc:description/>
  <cp:lastModifiedBy>Louis CHONG (BCA)</cp:lastModifiedBy>
  <cp:revision/>
  <dcterms:created xsi:type="dcterms:W3CDTF">2021-09-01T03:12:41Z</dcterms:created>
  <dcterms:modified xsi:type="dcterms:W3CDTF">2025-04-10T04:10:18Z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34c4c7-833e-41e4-b0ab-cdb227a2f6f7_Enabled">
    <vt:lpwstr>true</vt:lpwstr>
  </property>
  <property fmtid="{D5CDD505-2E9C-101B-9397-08002B2CF9AE}" pid="3" name="MSIP_Label_5434c4c7-833e-41e4-b0ab-cdb227a2f6f7_SetDate">
    <vt:lpwstr>2021-10-19T09:58:21Z</vt:lpwstr>
  </property>
  <property fmtid="{D5CDD505-2E9C-101B-9397-08002B2CF9AE}" pid="4" name="MSIP_Label_5434c4c7-833e-41e4-b0ab-cdb227a2f6f7_Method">
    <vt:lpwstr>Privileged</vt:lpwstr>
  </property>
  <property fmtid="{D5CDD505-2E9C-101B-9397-08002B2CF9AE}" pid="5" name="MSIP_Label_5434c4c7-833e-41e4-b0ab-cdb227a2f6f7_Name">
    <vt:lpwstr>Official (Open)</vt:lpwstr>
  </property>
  <property fmtid="{D5CDD505-2E9C-101B-9397-08002B2CF9AE}" pid="6" name="MSIP_Label_5434c4c7-833e-41e4-b0ab-cdb227a2f6f7_SiteId">
    <vt:lpwstr>0b11c524-9a1c-4e1b-84cb-6336aefc2243</vt:lpwstr>
  </property>
  <property fmtid="{D5CDD505-2E9C-101B-9397-08002B2CF9AE}" pid="7" name="MSIP_Label_5434c4c7-833e-41e4-b0ab-cdb227a2f6f7_ActionId">
    <vt:lpwstr>0baf3cdf-1882-40a4-999e-dfa103d921a3</vt:lpwstr>
  </property>
  <property fmtid="{D5CDD505-2E9C-101B-9397-08002B2CF9AE}" pid="8" name="MSIP_Label_5434c4c7-833e-41e4-b0ab-cdb227a2f6f7_ContentBits">
    <vt:lpwstr>0</vt:lpwstr>
  </property>
  <property fmtid="{D5CDD505-2E9C-101B-9397-08002B2CF9AE}" pid="9" name="ContentTypeId">
    <vt:lpwstr>0x010100FF817A334131254FA24ACFAEA9B0C38B</vt:lpwstr>
  </property>
  <property fmtid="{D5CDD505-2E9C-101B-9397-08002B2CF9AE}" pid="10" name="MediaServiceImageTags">
    <vt:lpwstr/>
  </property>
</Properties>
</file>