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C:\Users\bca_arokiaraj\Documents\Regina\Regina\Ammendments to GM criteria\2019\RB 2016\final RB 2016 score card\"/>
    </mc:Choice>
  </mc:AlternateContent>
  <xr:revisionPtr revIDLastSave="0" documentId="13_ncr:1_{0ADEE1DE-9C45-4184-A5F0-96DF648884C6}" xr6:coauthVersionLast="46" xr6:coauthVersionMax="46" xr10:uidLastSave="{00000000-0000-0000-0000-000000000000}"/>
  <bookViews>
    <workbookView xWindow="-120" yWindow="-120" windowWidth="20730" windowHeight="11160" tabRatio="932" firstSheet="1" activeTab="4" xr2:uid="{00000000-000D-0000-FFFF-FFFF00000000}"/>
  </bookViews>
  <sheets>
    <sheet name="Revision Tracking" sheetId="10" r:id="rId1"/>
    <sheet name="Score Summary" sheetId="9" r:id="rId2"/>
    <sheet name="1.Climatic Responsive Design" sheetId="1" r:id="rId3"/>
    <sheet name="2.Building Energy Performance" sheetId="3" r:id="rId4"/>
    <sheet name="3.Resource Stewardship" sheetId="4" r:id="rId5"/>
    <sheet name="4.Smart &amp; Healthy Bldg" sheetId="5" r:id="rId6"/>
    <sheet name="5.Advanced Green Efforts" sheetId="6" r:id="rId7"/>
    <sheet name="Raw Data" sheetId="2" state="hidden" r:id="rId8"/>
  </sheets>
  <externalReferences>
    <externalReference r:id="rId9"/>
    <externalReference r:id="rId10"/>
  </externalReferences>
  <definedNames>
    <definedName name="Aircon_Ticks">'Raw Data'!$D$7:$D$9</definedName>
    <definedName name="CoolingLoad">'[1]Building Data schedule'!$G$36:$H$46</definedName>
    <definedName name="_xlnm.Print_Area" localSheetId="0">'Revision Tracking'!$A$1:$D$41</definedName>
    <definedName name="_xlnm.Print_Area" localSheetId="1">'Score Summary'!$A$1:$N$45</definedName>
    <definedName name="SGBC_Ticks">'Raw Data'!$D$12:$D$15</definedName>
    <definedName name="Step">'Raw Data'!$D$2:$D$4</definedName>
    <definedName name="VentilationSteps">'Raw Data'!$D$2:$D$4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4" l="1"/>
  <c r="E14" i="3" l="1"/>
  <c r="E15" i="3"/>
  <c r="H6" i="3"/>
  <c r="G6" i="3"/>
  <c r="F6" i="3"/>
  <c r="G14" i="3" l="1"/>
  <c r="G42" i="4"/>
  <c r="E37" i="1" l="1"/>
  <c r="E36" i="1"/>
  <c r="G36" i="1" l="1"/>
  <c r="C82" i="1" l="1"/>
  <c r="E76" i="6" l="1"/>
  <c r="G76" i="6" s="1"/>
  <c r="E75" i="6"/>
  <c r="G75" i="6" s="1"/>
  <c r="E74" i="6"/>
  <c r="G74" i="6" s="1"/>
  <c r="E70" i="6"/>
  <c r="G77" i="6" l="1"/>
  <c r="G70" i="6"/>
  <c r="G71" i="6" s="1"/>
  <c r="A25" i="10"/>
  <c r="D25" i="10" l="1"/>
  <c r="H2" i="9"/>
  <c r="G14" i="1" l="1"/>
  <c r="E82" i="1" l="1"/>
  <c r="E26" i="3"/>
  <c r="E25" i="3"/>
  <c r="E28" i="3"/>
  <c r="E30" i="3"/>
  <c r="E65" i="4"/>
  <c r="E66" i="4"/>
  <c r="E67" i="4"/>
  <c r="E68" i="4"/>
  <c r="E69" i="4"/>
  <c r="E70" i="4"/>
  <c r="E73" i="4"/>
  <c r="E74" i="4"/>
  <c r="E75" i="4"/>
  <c r="E76" i="4"/>
  <c r="E77" i="4"/>
  <c r="E78" i="4"/>
  <c r="E82" i="4"/>
  <c r="E83" i="4"/>
  <c r="E84" i="4"/>
  <c r="E85" i="4"/>
  <c r="E86" i="4"/>
  <c r="E87" i="4"/>
  <c r="E87" i="1"/>
  <c r="E21" i="3"/>
  <c r="G21" i="3" s="1"/>
  <c r="G22" i="3" s="1"/>
  <c r="F29" i="9" s="1"/>
  <c r="E37" i="3"/>
  <c r="E38" i="3"/>
  <c r="G42" i="3"/>
  <c r="F8" i="3" s="1"/>
  <c r="E45" i="3"/>
  <c r="E46" i="3"/>
  <c r="E47" i="3"/>
  <c r="E50" i="3"/>
  <c r="G50" i="3" s="1"/>
  <c r="G51" i="3" s="1"/>
  <c r="F36" i="9" s="1"/>
  <c r="G28" i="6"/>
  <c r="G29" i="6" s="1"/>
  <c r="E81" i="6"/>
  <c r="G50" i="1"/>
  <c r="E67" i="1"/>
  <c r="G67" i="1"/>
  <c r="G69" i="1" s="1"/>
  <c r="F19" i="9" s="1"/>
  <c r="E77" i="1"/>
  <c r="E79" i="1"/>
  <c r="G40" i="4"/>
  <c r="E54" i="4"/>
  <c r="G38" i="4"/>
  <c r="E57" i="4"/>
  <c r="E10" i="5"/>
  <c r="E11" i="5"/>
  <c r="E55" i="1"/>
  <c r="E56" i="1"/>
  <c r="E57" i="1"/>
  <c r="H7" i="4"/>
  <c r="G7" i="4"/>
  <c r="F45" i="4"/>
  <c r="F47" i="4"/>
  <c r="G45" i="4"/>
  <c r="G47" i="4"/>
  <c r="E16" i="3"/>
  <c r="E18" i="3"/>
  <c r="G16" i="3" s="1"/>
  <c r="H7" i="3"/>
  <c r="G7" i="3"/>
  <c r="F7" i="3"/>
  <c r="H6" i="1"/>
  <c r="F6" i="1"/>
  <c r="G6" i="1"/>
  <c r="E60" i="1"/>
  <c r="E89" i="1"/>
  <c r="G12" i="1"/>
  <c r="G13" i="1" s="1"/>
  <c r="F10" i="9" s="1"/>
  <c r="G15" i="1"/>
  <c r="E17" i="1"/>
  <c r="E18" i="1"/>
  <c r="E19" i="1"/>
  <c r="G19" i="1" s="1"/>
  <c r="E20" i="1"/>
  <c r="G22" i="1"/>
  <c r="E23" i="1"/>
  <c r="G23" i="1" s="1"/>
  <c r="G26" i="1"/>
  <c r="G27" i="1"/>
  <c r="G30" i="1"/>
  <c r="G31" i="1" s="1"/>
  <c r="F14" i="9" s="1"/>
  <c r="E40" i="1"/>
  <c r="E41" i="1"/>
  <c r="E43" i="1"/>
  <c r="G44" i="1" s="1"/>
  <c r="E44" i="1"/>
  <c r="E46" i="1"/>
  <c r="E47" i="1"/>
  <c r="E52" i="1"/>
  <c r="E53" i="1"/>
  <c r="E62" i="1"/>
  <c r="G71" i="1"/>
  <c r="G72" i="1"/>
  <c r="G96" i="6"/>
  <c r="G94" i="6" s="1"/>
  <c r="M38" i="9" s="1"/>
  <c r="G92" i="6"/>
  <c r="G91" i="6" s="1"/>
  <c r="M37" i="9" s="1"/>
  <c r="G89" i="6"/>
  <c r="G87" i="6" s="1"/>
  <c r="M36" i="9" s="1"/>
  <c r="E7" i="6"/>
  <c r="G7" i="6" s="1"/>
  <c r="G10" i="6" s="1"/>
  <c r="E8" i="6"/>
  <c r="G8" i="6"/>
  <c r="E9" i="6"/>
  <c r="G9" i="6"/>
  <c r="E13" i="6"/>
  <c r="G13" i="6" s="1"/>
  <c r="G14" i="6" s="1"/>
  <c r="E16" i="6"/>
  <c r="G16" i="6"/>
  <c r="E18" i="6"/>
  <c r="G18" i="6" s="1"/>
  <c r="G19" i="6" s="1"/>
  <c r="E21" i="6"/>
  <c r="E22" i="6"/>
  <c r="E24" i="6"/>
  <c r="E25" i="6"/>
  <c r="E32" i="6"/>
  <c r="G32" i="6" s="1"/>
  <c r="E33" i="6"/>
  <c r="G33" i="6"/>
  <c r="E37" i="6"/>
  <c r="E38" i="6"/>
  <c r="E39" i="6"/>
  <c r="E41" i="6"/>
  <c r="E47" i="6"/>
  <c r="E48" i="6"/>
  <c r="E49" i="6"/>
  <c r="E54" i="6"/>
  <c r="E55" i="6"/>
  <c r="E59" i="6"/>
  <c r="E60" i="6"/>
  <c r="E64" i="6"/>
  <c r="G64" i="6" s="1"/>
  <c r="E65" i="6"/>
  <c r="G65" i="6" s="1"/>
  <c r="E66" i="6"/>
  <c r="G66" i="6" s="1"/>
  <c r="E82" i="6"/>
  <c r="E83" i="6"/>
  <c r="E84" i="6"/>
  <c r="E96" i="5"/>
  <c r="E97" i="5"/>
  <c r="E98" i="5"/>
  <c r="E101" i="5"/>
  <c r="E102" i="5"/>
  <c r="E103" i="5"/>
  <c r="E105" i="5"/>
  <c r="E111" i="5"/>
  <c r="E112" i="5"/>
  <c r="E114" i="5"/>
  <c r="E118" i="5"/>
  <c r="G118" i="5" s="1"/>
  <c r="G120" i="5" s="1"/>
  <c r="M33" i="9" s="1"/>
  <c r="E119" i="5"/>
  <c r="E32" i="5"/>
  <c r="E33" i="5"/>
  <c r="E38" i="5"/>
  <c r="G38" i="5" s="1"/>
  <c r="E39" i="5"/>
  <c r="E40" i="5"/>
  <c r="E43" i="5"/>
  <c r="E45" i="5"/>
  <c r="E47" i="5"/>
  <c r="E52" i="5"/>
  <c r="G52" i="5" s="1"/>
  <c r="E55" i="5"/>
  <c r="G55" i="5" s="1"/>
  <c r="E59" i="5"/>
  <c r="E60" i="5"/>
  <c r="E61" i="5"/>
  <c r="E62" i="5"/>
  <c r="E63" i="5"/>
  <c r="E64" i="5"/>
  <c r="E67" i="5"/>
  <c r="E68" i="5"/>
  <c r="E69" i="5"/>
  <c r="E70" i="5"/>
  <c r="E71" i="5"/>
  <c r="E72" i="5"/>
  <c r="E73" i="5"/>
  <c r="E76" i="5"/>
  <c r="E77" i="5"/>
  <c r="E78" i="5"/>
  <c r="E79" i="5"/>
  <c r="E80" i="5"/>
  <c r="E81" i="5"/>
  <c r="E84" i="5"/>
  <c r="E85" i="5"/>
  <c r="E86" i="5"/>
  <c r="E87" i="5"/>
  <c r="E88" i="5"/>
  <c r="E91" i="5"/>
  <c r="G91" i="5" s="1"/>
  <c r="E92" i="5"/>
  <c r="E21" i="5"/>
  <c r="E22" i="5"/>
  <c r="E90" i="4"/>
  <c r="E91" i="4"/>
  <c r="E92" i="4"/>
  <c r="E93" i="4"/>
  <c r="E94" i="4"/>
  <c r="E95" i="4"/>
  <c r="E98" i="4"/>
  <c r="G98" i="4" s="1"/>
  <c r="E99" i="4"/>
  <c r="E103" i="4"/>
  <c r="G103" i="4" s="1"/>
  <c r="G104" i="4" s="1"/>
  <c r="M18" i="9" s="1"/>
  <c r="E106" i="4"/>
  <c r="G106" i="4" s="1"/>
  <c r="E108" i="4"/>
  <c r="G108" i="4" s="1"/>
  <c r="E110" i="4"/>
  <c r="G110" i="4" s="1"/>
  <c r="E42" i="4"/>
  <c r="E52" i="4"/>
  <c r="E59" i="4"/>
  <c r="E19" i="5"/>
  <c r="G19" i="5" s="1"/>
  <c r="E16" i="5"/>
  <c r="E17" i="5"/>
  <c r="E31" i="4"/>
  <c r="E32" i="4"/>
  <c r="E33" i="4"/>
  <c r="E26" i="4"/>
  <c r="E27" i="4"/>
  <c r="E20" i="4"/>
  <c r="E22" i="4"/>
  <c r="E15" i="4"/>
  <c r="E16" i="4"/>
  <c r="E17" i="4"/>
  <c r="G37" i="3" l="1"/>
  <c r="G39" i="3" s="1"/>
  <c r="G19" i="3"/>
  <c r="G59" i="6"/>
  <c r="G61" i="6" s="1"/>
  <c r="G34" i="6"/>
  <c r="G21" i="6"/>
  <c r="G81" i="6"/>
  <c r="G85" i="6" s="1"/>
  <c r="G21" i="5"/>
  <c r="G10" i="5"/>
  <c r="G12" i="5" s="1"/>
  <c r="M23" i="9" s="1"/>
  <c r="E48" i="4"/>
  <c r="E49" i="4"/>
  <c r="G87" i="1"/>
  <c r="G52" i="1"/>
  <c r="G60" i="1"/>
  <c r="G54" i="6"/>
  <c r="G56" i="6" s="1"/>
  <c r="G47" i="6"/>
  <c r="G50" i="6" s="1"/>
  <c r="G37" i="6"/>
  <c r="G42" i="6" s="1"/>
  <c r="G25" i="6"/>
  <c r="G26" i="6" s="1"/>
  <c r="G111" i="5"/>
  <c r="G116" i="5" s="1"/>
  <c r="M32" i="9" s="1"/>
  <c r="G101" i="5"/>
  <c r="G109" i="5" s="1"/>
  <c r="M31" i="9" s="1"/>
  <c r="G96" i="5"/>
  <c r="G99" i="5" s="1"/>
  <c r="M30" i="9" s="1"/>
  <c r="G59" i="5"/>
  <c r="G92" i="5" s="1"/>
  <c r="M28" i="9" s="1"/>
  <c r="G56" i="5"/>
  <c r="M27" i="9" s="1"/>
  <c r="G43" i="5"/>
  <c r="G31" i="5"/>
  <c r="G16" i="5"/>
  <c r="G57" i="4"/>
  <c r="G60" i="4" s="1"/>
  <c r="M15" i="9" s="1"/>
  <c r="G52" i="4"/>
  <c r="G31" i="4"/>
  <c r="G34" i="4" s="1"/>
  <c r="M12" i="9" s="1"/>
  <c r="G26" i="4"/>
  <c r="G28" i="4" s="1"/>
  <c r="M11" i="9" s="1"/>
  <c r="G20" i="4"/>
  <c r="G15" i="4"/>
  <c r="G45" i="3"/>
  <c r="G48" i="3" s="1"/>
  <c r="F35" i="9" s="1"/>
  <c r="G8" i="3"/>
  <c r="H8" i="3"/>
  <c r="G43" i="3"/>
  <c r="F32" i="9"/>
  <c r="F31" i="9" s="1"/>
  <c r="G34" i="3"/>
  <c r="G24" i="3"/>
  <c r="G32" i="3" s="1"/>
  <c r="F30" i="9" s="1"/>
  <c r="G73" i="1"/>
  <c r="F20" i="9" s="1"/>
  <c r="G55" i="1"/>
  <c r="G46" i="1"/>
  <c r="G40" i="1"/>
  <c r="G28" i="1"/>
  <c r="F13" i="9" s="1"/>
  <c r="G17" i="1"/>
  <c r="G24" i="1" s="1"/>
  <c r="F12" i="9" s="1"/>
  <c r="G67" i="6"/>
  <c r="G111" i="4"/>
  <c r="G102" i="4" s="1"/>
  <c r="G65" i="4"/>
  <c r="G100" i="4" s="1"/>
  <c r="H8" i="4" s="1"/>
  <c r="E96" i="4"/>
  <c r="G76" i="1"/>
  <c r="F11" i="9"/>
  <c r="G22" i="5" l="1"/>
  <c r="G8" i="5" s="1"/>
  <c r="G48" i="4"/>
  <c r="G55" i="4" s="1"/>
  <c r="G90" i="1"/>
  <c r="G65" i="1" s="1"/>
  <c r="G48" i="1"/>
  <c r="F16" i="9" s="1"/>
  <c r="G63" i="1"/>
  <c r="G5" i="1" s="1"/>
  <c r="G5" i="6"/>
  <c r="M35" i="9" s="1"/>
  <c r="M34" i="9" s="1"/>
  <c r="M29" i="9"/>
  <c r="G94" i="5"/>
  <c r="G49" i="5"/>
  <c r="G24" i="5" s="1"/>
  <c r="M24" i="9"/>
  <c r="M22" i="9" s="1"/>
  <c r="G23" i="4"/>
  <c r="G11" i="4" s="1"/>
  <c r="F34" i="9"/>
  <c r="F33" i="9" s="1"/>
  <c r="G41" i="3"/>
  <c r="G11" i="3"/>
  <c r="F28" i="9"/>
  <c r="F27" i="9" s="1"/>
  <c r="H5" i="1"/>
  <c r="G11" i="1"/>
  <c r="F9" i="9"/>
  <c r="M19" i="9"/>
  <c r="M17" i="9" s="1"/>
  <c r="M16" i="9"/>
  <c r="F8" i="4"/>
  <c r="G8" i="4"/>
  <c r="H7" i="1"/>
  <c r="M10" i="9" l="1"/>
  <c r="M9" i="9" s="1"/>
  <c r="F17" i="9"/>
  <c r="F21" i="9"/>
  <c r="F18" i="9" s="1"/>
  <c r="F15" i="9"/>
  <c r="M26" i="9"/>
  <c r="M25" i="9" s="1"/>
  <c r="M20" i="9" s="1"/>
  <c r="G6" i="4"/>
  <c r="F6" i="4"/>
  <c r="H6" i="4"/>
  <c r="G36" i="4"/>
  <c r="M14" i="9"/>
  <c r="M13" i="9" s="1"/>
  <c r="G33" i="1"/>
  <c r="F22" i="9"/>
  <c r="M4" i="9" l="1"/>
  <c r="F4" i="9"/>
  <c r="K44" i="9" l="1"/>
  <c r="K46" i="9" s="1"/>
</calcChain>
</file>

<file path=xl/sharedStrings.xml><?xml version="1.0" encoding="utf-8"?>
<sst xmlns="http://schemas.openxmlformats.org/spreadsheetml/2006/main" count="882" uniqueCount="505">
  <si>
    <t>Input Number</t>
  </si>
  <si>
    <t>OR</t>
  </si>
  <si>
    <t>Ventilation Performance</t>
  </si>
  <si>
    <t>Input %age</t>
  </si>
  <si>
    <t>Predicted Mean Vote (PMV)</t>
  </si>
  <si>
    <t>Indoor Wind Speed(m/s)</t>
  </si>
  <si>
    <t>Leadership</t>
  </si>
  <si>
    <t>Climatic and Contextually Responsive Brief</t>
  </si>
  <si>
    <t>Integrative Design Process</t>
  </si>
  <si>
    <t>Environmental Credentials of Project Team</t>
  </si>
  <si>
    <t>Green and Gracious Builder Classification</t>
  </si>
  <si>
    <t>Certified/Merit/Excellent/Star</t>
  </si>
  <si>
    <t>Green Companies</t>
  </si>
  <si>
    <t>At least 3 of the following companies are ISO 14001 certified: Architect, M&amp;E Engineer, C&amp;S Engineer, Developer and Main Contractor.</t>
  </si>
  <si>
    <t>Number of SGBC Green Services Certified firm</t>
  </si>
  <si>
    <t>(a)</t>
  </si>
  <si>
    <t>Use of BIM between various parties (Architect, the MEP Engineers and the Structural Engineer) in the construction value chain for clash detection purposes.</t>
  </si>
  <si>
    <t>(b)</t>
  </si>
  <si>
    <t>Use of BIM for environmental analysis and building performance simulation.</t>
  </si>
  <si>
    <t>User Engagement</t>
  </si>
  <si>
    <t>Building User Guide with Green Fit-out Guidelines</t>
  </si>
  <si>
    <t>Urban Harmony</t>
  </si>
  <si>
    <t>Sustainable Urbanism</t>
  </si>
  <si>
    <t>(i)</t>
  </si>
  <si>
    <t>Comprehensive Environmental Impact Assessment (EIA)</t>
  </si>
  <si>
    <t>(ii)</t>
  </si>
  <si>
    <t>Response to Site Context</t>
  </si>
  <si>
    <t>Identification on plan and photographic evidence of the key microclimatic conditions of the site and how it is considered in the design</t>
  </si>
  <si>
    <t>Macro level simulations on the site context</t>
  </si>
  <si>
    <t>(iii)</t>
  </si>
  <si>
    <t>Urban Heat Island (UHI)</t>
  </si>
  <si>
    <t>% of site coverage which Mitigation measures for UHI applied</t>
  </si>
  <si>
    <t>(iv)</t>
  </si>
  <si>
    <t>Provision of electrical vehicle charging and parking infrastructure (minimum 1 for every 100 carpark lots, cap at 5)</t>
  </si>
  <si>
    <t>Provision of sheltered bicycle lots, in-line with LTA’s quantity requirement</t>
  </si>
  <si>
    <t>Integrated Landscape and Waterscape</t>
  </si>
  <si>
    <t>Tree Conservation</t>
  </si>
  <si>
    <t>Preservation Of Existing Trees</t>
  </si>
  <si>
    <t>1:1 Replacement Of Felled Trees</t>
  </si>
  <si>
    <t>Sustainable Landscape Management</t>
  </si>
  <si>
    <t>Projects certified under NParks Landscape Excellence Assessment Framework (LEAF) certification</t>
  </si>
  <si>
    <t>Adoption of native plant species for ≥ 50% of greenery</t>
  </si>
  <si>
    <t>Provision of landscape management plan</t>
  </si>
  <si>
    <t>Sustainable Storm Water Management</t>
  </si>
  <si>
    <t>Projects certified under PUB Active, Beautiful and Clean Waters (ABC Waters) certification</t>
  </si>
  <si>
    <t>Treatment of storm water run-off through the provision of infiltration or design features before discharge to the public drains</t>
  </si>
  <si>
    <t>Tropicality</t>
  </si>
  <si>
    <t>Tropical Façade Performance</t>
  </si>
  <si>
    <t>RETV (W/m2)</t>
  </si>
  <si>
    <t>Internal Organisation</t>
  </si>
  <si>
    <t>≥ 80% Natural Ventilation in Lift Lobbies and Corridors</t>
  </si>
  <si>
    <t>≥ 80% Natural Ventilation in Staircases</t>
  </si>
  <si>
    <t>% of units with window openings facing north and south directions</t>
  </si>
  <si>
    <t>Dwelling Unit Design</t>
  </si>
  <si>
    <t>% of living rooms and bedrooms designed with true cross ventilation</t>
  </si>
  <si>
    <t>Points Scored</t>
  </si>
  <si>
    <t>Max. Points</t>
  </si>
  <si>
    <t>Raw Score</t>
  </si>
  <si>
    <t>Green Plot Ratio</t>
  </si>
  <si>
    <t>GnPR Value</t>
  </si>
  <si>
    <t>Points</t>
  </si>
  <si>
    <t>Ventilation Simulation Modeling</t>
  </si>
  <si>
    <t>Building Layout Design #</t>
  </si>
  <si>
    <t>Climatic Responsive Design</t>
  </si>
  <si>
    <t>Ventilation Step</t>
  </si>
  <si>
    <t>Vertical Transportation Efficiency</t>
  </si>
  <si>
    <t>Air Conditioning System Efficiency</t>
  </si>
  <si>
    <t>Energy Efficiency</t>
  </si>
  <si>
    <t>Lighting Efficiency</t>
  </si>
  <si>
    <t>% improvement in lighting power budget</t>
  </si>
  <si>
    <t>Car Park Energy</t>
  </si>
  <si>
    <t>a</t>
  </si>
  <si>
    <t>Naturally Ventilated</t>
  </si>
  <si>
    <t>b</t>
  </si>
  <si>
    <t>Fume Extract</t>
  </si>
  <si>
    <t>With or without supply fan</t>
  </si>
  <si>
    <t>Energy Effectiveness</t>
  </si>
  <si>
    <t>Energy Efficient Practices, Design and Features</t>
  </si>
  <si>
    <t xml:space="preserve">Renewable Energy </t>
  </si>
  <si>
    <t>Feasibility Study</t>
  </si>
  <si>
    <t>Solar Ready Roof</t>
  </si>
  <si>
    <t>Structural Readiness</t>
  </si>
  <si>
    <t>Electrical readiness</t>
  </si>
  <si>
    <t>Spatial readiness</t>
  </si>
  <si>
    <t>Replacement Energy</t>
  </si>
  <si>
    <t>% replacement by renewable energy</t>
  </si>
  <si>
    <t>Building Energy Performance</t>
  </si>
  <si>
    <t>Aircon Ticks</t>
  </si>
  <si>
    <t>Others</t>
  </si>
  <si>
    <t>Design with adequate clearance distance for condenser units and screens for condenser units shall be more than or equal to 70% of free area</t>
  </si>
  <si>
    <t>Provision of Air Conditioning System</t>
  </si>
  <si>
    <t>Computer Fluid Computation (CFD) simulation</t>
  </si>
  <si>
    <t>c</t>
  </si>
  <si>
    <t>Use of energy efficient features which are innovative and have positive environmental impact</t>
  </si>
  <si>
    <t>High Impact Items (e.g. ≥ 80% coverage)</t>
  </si>
  <si>
    <t>Low Impact Items (e.g. ≥ 50% coverage)</t>
  </si>
  <si>
    <t>Sustainable Construction</t>
  </si>
  <si>
    <t>Embodied Energy</t>
  </si>
  <si>
    <t>Sustainable Products</t>
  </si>
  <si>
    <t>Water</t>
  </si>
  <si>
    <t>Water Efficient Measures</t>
  </si>
  <si>
    <t>Dwelling units – Provision of products that are certified under WELS</t>
  </si>
  <si>
    <t xml:space="preserve">% of landscape area served by water efficient automated irrigation system </t>
  </si>
  <si>
    <t>AND/OR</t>
  </si>
  <si>
    <t>% Landscape area of Drought tolerant plants</t>
  </si>
  <si>
    <t>Water Usage Monitoring</t>
  </si>
  <si>
    <t>Monitoring via Local meters</t>
  </si>
  <si>
    <t>Smart meters with remote monitoring</t>
  </si>
  <si>
    <t>Alternative Water Sources</t>
  </si>
  <si>
    <t>NEWater supply</t>
  </si>
  <si>
    <t>Rainwater harvested</t>
  </si>
  <si>
    <t>On-site recycled water</t>
  </si>
  <si>
    <t>Materials</t>
  </si>
  <si>
    <t>(ii)P1</t>
  </si>
  <si>
    <t>(ii)P2</t>
  </si>
  <si>
    <t>Superstructure Only - Recycled Concrete Aggregate(RCA) and Washed Copper Slag(WCS)</t>
  </si>
  <si>
    <t>Uncertified concrete with clinker content ≤400 kg/m3</t>
  </si>
  <si>
    <t>SGBC-certified 1/2/3-Tick concrete</t>
  </si>
  <si>
    <t>Declaration of Concrete, Glass and Steel</t>
  </si>
  <si>
    <t>Number of declared additional materials</t>
  </si>
  <si>
    <t>Singular Sustainable Products outside of Functional Systems</t>
  </si>
  <si>
    <t>Waste</t>
  </si>
  <si>
    <t>Operational Waste Management</t>
  </si>
  <si>
    <t>Resource Stewardship</t>
  </si>
  <si>
    <t>P.10</t>
  </si>
  <si>
    <t>Indoor Air Quality</t>
  </si>
  <si>
    <t>Occupant Comfort</t>
  </si>
  <si>
    <t>For living room only</t>
  </si>
  <si>
    <t>For all living room and bedrooms</t>
  </si>
  <si>
    <t>Contaminants</t>
  </si>
  <si>
    <t>Number of Categories applying to ≥90% applicable areas</t>
  </si>
  <si>
    <t>One main category of finishes(excluding tiles)</t>
  </si>
  <si>
    <t>All finishes</t>
  </si>
  <si>
    <t>Minimise airborne contaminants from waste by locating refuse chutes or waste disposal area at open ventilated areas such as service balconies or common corridors</t>
  </si>
  <si>
    <t>% of applicable areas with natural ventilation and daylighting in wet areas such as kitchens, bathrooms and toilets</t>
  </si>
  <si>
    <t>Spatial Quality</t>
  </si>
  <si>
    <t>Lighting</t>
  </si>
  <si>
    <t>Full Simulation - refer to Simulation Guideline</t>
  </si>
  <si>
    <t>Total Residential Units meeting requirement</t>
  </si>
  <si>
    <t>Total Number of Units</t>
  </si>
  <si>
    <t>Potential Glare and daylight control measures</t>
  </si>
  <si>
    <t>Provision of any of the following strategies for at least 90% of residential units with glare</t>
  </si>
  <si>
    <t>Blinds and Screens</t>
  </si>
  <si>
    <t>Light shelf</t>
  </si>
  <si>
    <t>Glazing treatments (Variable opacity glazing, bi-level glazing)</t>
  </si>
  <si>
    <t>Daylighting in common areas</t>
  </si>
  <si>
    <t>Staircases</t>
  </si>
  <si>
    <t>Corridors &amp; Lift Lobbies</t>
  </si>
  <si>
    <t>Car parks</t>
  </si>
  <si>
    <t>Acoustics</t>
  </si>
  <si>
    <t>Acoustics Planning</t>
  </si>
  <si>
    <t>Acoustics Design</t>
  </si>
  <si>
    <t>Wellbeing</t>
  </si>
  <si>
    <t>Biophilic Design</t>
  </si>
  <si>
    <t>Provision of nature in common areas:</t>
  </si>
  <si>
    <t>a) Daylighting and natural ventilation</t>
  </si>
  <si>
    <t>b) Water features</t>
  </si>
  <si>
    <t>c) Extensive greenery</t>
  </si>
  <si>
    <t>d) Fauna, beyond insect species</t>
  </si>
  <si>
    <t>e) Natural landscape and ecosystems</t>
  </si>
  <si>
    <t>Provision of indirect experience of nature in building design:</t>
  </si>
  <si>
    <t>a) Images of Nature</t>
  </si>
  <si>
    <t>b) Use of natural materials like wood and stone</t>
  </si>
  <si>
    <t>c) Use of natural colours</t>
  </si>
  <si>
    <t>d) Adoption of naturalistic shapes and forms
(including plants and animals)</t>
  </si>
  <si>
    <t>e) Demonstrate the passage of time and age</t>
  </si>
  <si>
    <t>f) Use of natural geometrics including "Golden Ratio" and "Fibonacci Sequence"</t>
  </si>
  <si>
    <t>g) Adoption of biomimicry (such as big tree structure in Garden by the Bay)</t>
  </si>
  <si>
    <t>Provision of features to facilitate experience of space and place:</t>
  </si>
  <si>
    <t>a) Design incorporating at least 2 distinct areas of prospect and refuge such as balconies, deisgnated lookout areas along corridors</t>
  </si>
  <si>
    <t>b) Design incorporating organised complexity such as complicated patterned façade design</t>
  </si>
  <si>
    <t>c) Design incorporating integration of parts to wholes</t>
  </si>
  <si>
    <t>d) Provision of at least 3 different transitional environments between spaces such as sheltered walkway to car park, porches that link indoor to outdoor areas</t>
  </si>
  <si>
    <t>e) Facilitate wayfinding in terms of locality and map provision in the whole development</t>
  </si>
  <si>
    <t>f) Designate at least 2 cultural defined locations</t>
  </si>
  <si>
    <t>Provision of space in common area for lifestyle wellbeing:</t>
  </si>
  <si>
    <t>a) Designated gardening/farming areas</t>
  </si>
  <si>
    <t>b) Playground</t>
  </si>
  <si>
    <t>c) Fitness corner</t>
  </si>
  <si>
    <t>d) Dedicated running tracks with maked distance information</t>
  </si>
  <si>
    <t>e) Designated areas for wellness activites with peaceful ambience</t>
  </si>
  <si>
    <t>Universal Design Mark</t>
  </si>
  <si>
    <t>Certified/Gold/Gold+/Platinum</t>
  </si>
  <si>
    <t>Smart Community</t>
  </si>
  <si>
    <t>Energy Monitoring</t>
  </si>
  <si>
    <t>Provision of a power meter with dashboard in the form of digital displays in common areas, or web-based and mobile applications</t>
  </si>
  <si>
    <t>Provision of a power meter with dashboard made available to residents / occupants, showing the energy consumption in their respective dwellings</t>
  </si>
  <si>
    <t>Using BACnet, Modbus or any other nonproprietary protocol as the network backbone for the building management system (BMS), with the system being able to provide  scheduled export of a set of any chosen data points to commonly used file formats</t>
  </si>
  <si>
    <t>Demand Control</t>
  </si>
  <si>
    <t>Provision of timer sensors / controls for lighting and ventilation systems in community spaces such as link buildings, community halls, etc</t>
  </si>
  <si>
    <t>Provision of Bi-level motion sensors for artificial lighting systems in &gt;80% of the common areas</t>
  </si>
  <si>
    <t>Provision of car park guidance system in multi-storey car parks</t>
  </si>
  <si>
    <t>Integration and Analytics</t>
  </si>
  <si>
    <t>Provision of website and/or accessible monthly readout per residential block / unit to engage residents</t>
  </si>
  <si>
    <t>Provision of energy portal and/or dashboard for residential development management team</t>
  </si>
  <si>
    <t>System Handover and Documentation</t>
  </si>
  <si>
    <t>Proper system verification and handover of higher-order functional and system level performance of buildings control systems, mechanical systems and electrical systems. The project shall demonstrate a commitment to comply with verification requirements and show evidence of relevant schedules and documentation per residential block</t>
  </si>
  <si>
    <t>Proper system verification and handover of applicable mechanical and electrical systems. The project shall demonstrate a commitment to comply with verification requirements and show evidence of relevant schedules and documentation per residential unit</t>
  </si>
  <si>
    <t>Smart &amp; Healthy Building</t>
  </si>
  <si>
    <t>Enhanced Performance</t>
  </si>
  <si>
    <t>Passive Design Strategies (For at least 80% of applicable areas)</t>
  </si>
  <si>
    <t>For development with multiple blocks, stagger blocks such that blocks behind are able to receive wind penetrating through the gaps between the blocks in the front row or arrange building according to ascending height with lower height in front and towards the direction of prevailing wind</t>
  </si>
  <si>
    <t>Provision of either void decks at the ground floor or void spaces in between buildings to encourage air flow through and around buildings</t>
  </si>
  <si>
    <t>Carry out macro ventilation simulation to check block layout to ensure passive design been considered from the early design stage</t>
  </si>
  <si>
    <t>Sustainable Stormwater Management</t>
  </si>
  <si>
    <t>Wind Driven Rain (WDR) Simulation</t>
  </si>
  <si>
    <t>d</t>
  </si>
  <si>
    <t>Energy Efficient Features</t>
  </si>
  <si>
    <t>Use of thermal insulation or cool paints on the east and west facing external walls</t>
  </si>
  <si>
    <t>Window to Wall Ratio (WWR)</t>
  </si>
  <si>
    <t>Provision of vertical greenery system on building facades abutting the living, dinning and bedrooms of dwelling units</t>
  </si>
  <si>
    <t>% of building façade</t>
  </si>
  <si>
    <t>e</t>
  </si>
  <si>
    <t>Additional Replacement Energy</t>
  </si>
  <si>
    <t>% replacement of electricity (exclude household’s usage) by renewable energy</t>
  </si>
  <si>
    <t>f</t>
  </si>
  <si>
    <t>g</t>
  </si>
  <si>
    <t>Smart BIM</t>
  </si>
  <si>
    <t>4D(Time) BIM</t>
  </si>
  <si>
    <t>5D(Cost) BIM</t>
  </si>
  <si>
    <t>6D(Facilities Management) BIM</t>
  </si>
  <si>
    <t>To use BCA supported BIM based Concrete Usage Index (CUI) calculator to calculate CUI</t>
  </si>
  <si>
    <t>h</t>
  </si>
  <si>
    <t xml:space="preserve">Sustainable Products </t>
  </si>
  <si>
    <t>i</t>
  </si>
  <si>
    <t>Provide own material emission factors through BCA’s online embodied carbon calculator</t>
  </si>
  <si>
    <t>Computing the carbon footprint of the entire development and develop detailed carbon footprint report based on ALL the materials used within the project</t>
  </si>
  <si>
    <t>j</t>
  </si>
  <si>
    <t>Clean Outdoor Air</t>
  </si>
  <si>
    <t>k</t>
  </si>
  <si>
    <t>Smart Building Operations</t>
  </si>
  <si>
    <t>Car park data collection system with open-protocol support for lighting / space control</t>
  </si>
  <si>
    <t>Integration of systems for energy savings, etc</t>
  </si>
  <si>
    <t>Mobile application for monitoring / controlling of electrical / water consumption</t>
  </si>
  <si>
    <t>l</t>
  </si>
  <si>
    <t>Other Green Features</t>
  </si>
  <si>
    <t>Demonstrating Cost Effective Design</t>
  </si>
  <si>
    <t>To encourage projects that can demonstrate that they have achieved high levels of environmental performance without an increased capital expenditure</t>
  </si>
  <si>
    <t>The project is designed with zero green premium when compared to conventional building design that meet the code and regulatory requirements</t>
  </si>
  <si>
    <t>Complementary Certifications</t>
  </si>
  <si>
    <t>To encourage the use of an approved local or international rating tool that rates sustainability beyond the built environment</t>
  </si>
  <si>
    <t>Social Benefits</t>
  </si>
  <si>
    <t>To encourage projects that demonstrate their social benefits or how social sustainability has been incorporated into the project. This can (but not limited to) include efforts that demonstrate enhanced considerations to wellbeing, community integration efforts and clean energy purchase through leasing contracts</t>
  </si>
  <si>
    <t>`</t>
  </si>
  <si>
    <t>Advanced Green Efforts</t>
  </si>
  <si>
    <t>No. of fittings with "Very Good" rating</t>
  </si>
  <si>
    <t>No. of fittings with "Excellent" rating</t>
  </si>
  <si>
    <t xml:space="preserve">Total no. of fittings </t>
  </si>
  <si>
    <t>No. of fittings with "Others" rating</t>
  </si>
  <si>
    <t>Conservation &amp; Resource Recovery - 
% of crushed concrete waste from demolished building sent to approved recyclers with proper facilities.</t>
  </si>
  <si>
    <t>Concrete Usage Index (CUI)</t>
  </si>
  <si>
    <t>Concrete Usage Index</t>
  </si>
  <si>
    <t>CUI</t>
  </si>
  <si>
    <t>Min. Usage Reqmt for RCA</t>
  </si>
  <si>
    <t>Min. Usage Reqmt for WCS</t>
  </si>
  <si>
    <t>Total concrete use for superstructure</t>
  </si>
  <si>
    <t>Total tonnage of coarse aggregates</t>
  </si>
  <si>
    <t>Total tonnage of fine aggregates</t>
  </si>
  <si>
    <t>Certification of concrete (&gt;= 80% of applicable superstructural concrete by volume)</t>
  </si>
  <si>
    <t>Green Cement (ticks)</t>
  </si>
  <si>
    <t>Base group (with indicated coverage)</t>
  </si>
  <si>
    <t>Internal Wall (&gt; 60%)</t>
  </si>
  <si>
    <t>Internal Floor (&gt; 60%)</t>
  </si>
  <si>
    <t>External Wall (&gt; 80%)</t>
  </si>
  <si>
    <t>Roof (&gt; 80%)</t>
  </si>
  <si>
    <t>Doors (&gt; 60%)</t>
  </si>
  <si>
    <t>Ceiling (&gt; 60%)</t>
  </si>
  <si>
    <t>Finishes group Coverage (with indicated coverage)</t>
  </si>
  <si>
    <t>Base group Coverage (with indicated coverage)</t>
  </si>
  <si>
    <t>Internal Wall (&gt; 80%)</t>
  </si>
  <si>
    <t>Internal Floor (&gt; 80%)</t>
  </si>
  <si>
    <t>Doors (&gt; 80%)</t>
  </si>
  <si>
    <t>Ceiling (&gt; 80%)</t>
  </si>
  <si>
    <t>Number of Hardscape &amp; Softscape &amp; Building Equipment &amp; Fixtures etc with &gt; 80% coverage</t>
  </si>
  <si>
    <t>Number of Building Services equipment/ product with &gt;= 90% coverage</t>
  </si>
  <si>
    <t>Design Classification (Exemplary/Acceptable)</t>
  </si>
  <si>
    <t>Extent of coverage</t>
  </si>
  <si>
    <t>Acoustic design report meeting relevant authority’s requirement with an aggregate area of not less than 10% of the room/space to be ventilated. Credit is given for implementation of recommendations stated in the report to meet acoustic requirement</t>
  </si>
  <si>
    <t>Architectural design to avoid windows of living rooms and bedrooms to be in immediate proximity/facing to noise sources within site boundary and 70 metres away from building boundary</t>
  </si>
  <si>
    <t>Others (to be accepted by BCA on a case-to-case basis) - To be listed below</t>
  </si>
  <si>
    <t>Achieving PUB ABC Waters "Gold Class" certification</t>
  </si>
  <si>
    <t>Conduct wind driven rain simulation modelling to identify effective building design and layout to minimise wind driven rain into naturally ventilated area (drop-off area and communcal space such as sky garden)</t>
  </si>
  <si>
    <t>Implementation of recommendations to mitigate effects of wind driven rain</t>
  </si>
  <si>
    <t>Smart Water Management System</t>
  </si>
  <si>
    <t>System/ device that allows homeowners to access to their own water usage data</t>
  </si>
  <si>
    <t>System/ device that provides homeowners the breakdown of their major water uses</t>
  </si>
  <si>
    <t>Additional Green Effort (Products)</t>
  </si>
  <si>
    <t>Ticks rating under Singapore Green Building Product (SGBP) certification</t>
  </si>
  <si>
    <t>No. of materials</t>
  </si>
  <si>
    <t>No. of products with 2 ticks</t>
  </si>
  <si>
    <t>No. of products with 3 ticks</t>
  </si>
  <si>
    <t>No. of products with 4 ticks</t>
  </si>
  <si>
    <t>Provision of clean outdoor air [0.3 l/s per m² floor area for that space/room]</t>
  </si>
  <si>
    <t>Provision of portable air cleaner for more than 80% of the units</t>
  </si>
  <si>
    <t>To encourage the use of other green features that are innovative and have positive environment impact (to indicate %age)</t>
  </si>
  <si>
    <t>List of social benefits (Provide details below)</t>
  </si>
  <si>
    <t>Indoor Air Temperature (°C)</t>
  </si>
  <si>
    <t>treatment of ≥10% of runoff from total site area</t>
  </si>
  <si>
    <r>
      <t>Select the "</t>
    </r>
    <r>
      <rPr>
        <b/>
        <sz val="8"/>
        <color theme="1"/>
        <rFont val="Cambria"/>
        <family val="1"/>
      </rPr>
      <t>STEP</t>
    </r>
    <r>
      <rPr>
        <sz val="8"/>
        <color theme="1"/>
        <rFont val="Cambria"/>
        <family val="1"/>
      </rPr>
      <t>" used</t>
    </r>
  </si>
  <si>
    <r>
      <rPr>
        <b/>
        <sz val="8"/>
        <color theme="1"/>
        <rFont val="Cambria"/>
        <family val="1"/>
      </rPr>
      <t>Step 1</t>
    </r>
    <r>
      <rPr>
        <sz val="8"/>
        <color theme="1"/>
        <rFont val="Cambria"/>
        <family val="1"/>
      </rPr>
      <t xml:space="preserve"> - % of Selected units with minimum weighted average wind velocity of 0.60m/s</t>
    </r>
  </si>
  <si>
    <r>
      <rPr>
        <b/>
        <sz val="8"/>
        <color theme="1"/>
        <rFont val="Cambria"/>
        <family val="1"/>
      </rPr>
      <t>Step 2</t>
    </r>
    <r>
      <rPr>
        <sz val="8"/>
        <color theme="1"/>
        <rFont val="Cambria"/>
        <family val="1"/>
      </rPr>
      <t xml:space="preserve"> - % of Selected Typical Units With Good Natural Ventilation</t>
    </r>
  </si>
  <si>
    <r>
      <rPr>
        <b/>
        <sz val="8"/>
        <color theme="1"/>
        <rFont val="Cambria"/>
        <family val="1"/>
      </rPr>
      <t>Step 3</t>
    </r>
    <r>
      <rPr>
        <sz val="8"/>
        <color theme="1"/>
        <rFont val="Cambria"/>
        <family val="1"/>
      </rPr>
      <t xml:space="preserve"> - Thermal Comfort Modelling</t>
    </r>
  </si>
  <si>
    <r>
      <t>Gross Floor Area (GFA) in m</t>
    </r>
    <r>
      <rPr>
        <vertAlign val="superscript"/>
        <sz val="8"/>
        <color theme="1"/>
        <rFont val="Cambria"/>
        <family val="1"/>
      </rPr>
      <t>2</t>
    </r>
  </si>
  <si>
    <r>
      <t>Total tonnage of RCA used for superstructure [</t>
    </r>
    <r>
      <rPr>
        <i/>
        <sz val="8"/>
        <color theme="1"/>
        <rFont val="Cambria"/>
        <family val="1"/>
      </rPr>
      <t>= % replacement x 1 ton/m3 x concrete volume</t>
    </r>
    <r>
      <rPr>
        <b/>
        <i/>
        <sz val="8"/>
        <color theme="1"/>
        <rFont val="Cambria"/>
        <family val="1"/>
      </rPr>
      <t xml:space="preserve"> with </t>
    </r>
    <r>
      <rPr>
        <b/>
        <i/>
        <u/>
        <sz val="8"/>
        <color theme="1"/>
        <rFont val="Cambria"/>
        <family val="1"/>
      </rPr>
      <t>coarse</t>
    </r>
    <r>
      <rPr>
        <b/>
        <i/>
        <sz val="8"/>
        <color theme="1"/>
        <rFont val="Cambria"/>
        <family val="1"/>
      </rPr>
      <t xml:space="preserve"> aggregate replacement</t>
    </r>
    <r>
      <rPr>
        <sz val="8"/>
        <color theme="1"/>
        <rFont val="Cambria"/>
        <family val="1"/>
      </rPr>
      <t>]</t>
    </r>
  </si>
  <si>
    <r>
      <t>Total tonnage of WCS used for superstructure [</t>
    </r>
    <r>
      <rPr>
        <i/>
        <sz val="8"/>
        <color theme="1"/>
        <rFont val="Cambria"/>
        <family val="1"/>
      </rPr>
      <t xml:space="preserve">= % replacement x 0.7 ton/m3 x concrete volume </t>
    </r>
    <r>
      <rPr>
        <b/>
        <i/>
        <sz val="8"/>
        <color theme="1"/>
        <rFont val="Cambria"/>
        <family val="1"/>
      </rPr>
      <t xml:space="preserve">with </t>
    </r>
    <r>
      <rPr>
        <b/>
        <i/>
        <u/>
        <sz val="8"/>
        <color theme="1"/>
        <rFont val="Cambria"/>
        <family val="1"/>
      </rPr>
      <t>fine</t>
    </r>
    <r>
      <rPr>
        <b/>
        <i/>
        <sz val="8"/>
        <color theme="1"/>
        <rFont val="Cambria"/>
        <family val="1"/>
      </rPr>
      <t xml:space="preserve"> aggregate replacement</t>
    </r>
    <r>
      <rPr>
        <sz val="8"/>
        <color theme="1"/>
        <rFont val="Cambria"/>
        <family val="1"/>
      </rPr>
      <t>]</t>
    </r>
  </si>
  <si>
    <r>
      <t>Functional Systems of Whole building (</t>
    </r>
    <r>
      <rPr>
        <u/>
        <sz val="8"/>
        <color theme="1"/>
        <rFont val="Cambria"/>
        <family val="1"/>
      </rPr>
      <t>include residential units</t>
    </r>
    <r>
      <rPr>
        <sz val="8"/>
        <color theme="1"/>
        <rFont val="Cambria"/>
        <family val="1"/>
      </rPr>
      <t>)</t>
    </r>
  </si>
  <si>
    <r>
      <t>Common area only (</t>
    </r>
    <r>
      <rPr>
        <u/>
        <sz val="8"/>
        <color theme="1"/>
        <rFont val="Cambria"/>
        <family val="1"/>
      </rPr>
      <t>exclude residential units</t>
    </r>
    <r>
      <rPr>
        <sz val="8"/>
        <color theme="1"/>
        <rFont val="Cambria"/>
        <family val="1"/>
      </rPr>
      <t>)</t>
    </r>
  </si>
  <si>
    <t>PROJECT SCORE SUMMARY</t>
  </si>
  <si>
    <t>POINTS AVAILABLE</t>
  </si>
  <si>
    <t>POINTS SCORED</t>
  </si>
  <si>
    <t>VERIFICATION</t>
  </si>
  <si>
    <t>PART 1 – CLIMATIC RESPONSIVE DESIGN</t>
  </si>
  <si>
    <t>PART 4 – SMART AND HEALTHY BUILDING</t>
  </si>
  <si>
    <t>LEADERSHIP</t>
  </si>
  <si>
    <t>P.11</t>
  </si>
  <si>
    <t>Low Volatile Organic Compound (VOC) Paints</t>
  </si>
  <si>
    <t>Climatic &amp; Contextually Responsive Brief</t>
  </si>
  <si>
    <t>P.12</t>
  </si>
  <si>
    <t xml:space="preserve">Integrative Design Process </t>
  </si>
  <si>
    <t>P.13</t>
  </si>
  <si>
    <t xml:space="preserve">Environmental Credentials of Project Team </t>
  </si>
  <si>
    <t>Building Information Modelling</t>
  </si>
  <si>
    <t>INDOOR AIR QUALITY</t>
  </si>
  <si>
    <t>URBAN HARMONY</t>
  </si>
  <si>
    <t>TROPICALITY</t>
  </si>
  <si>
    <t>SPATIAL QUALITY</t>
  </si>
  <si>
    <t>Tropical Facade Performance</t>
  </si>
  <si>
    <t>PART 2 – BUILDING ENERGY PERFORMANCE</t>
  </si>
  <si>
    <t>SMART BUILDING OPERATIONS</t>
  </si>
  <si>
    <t>Air Conditioning Efficiency</t>
  </si>
  <si>
    <t>ENERGY EFFICIENCY</t>
  </si>
  <si>
    <t>PART 5 – ADVANCED GREEN EFFORTS</t>
  </si>
  <si>
    <t>ENERGY EFFECTIVENESS</t>
  </si>
  <si>
    <t>RENEWABLE ENERGY</t>
  </si>
  <si>
    <t>Solar Energy Feasibility Study</t>
  </si>
  <si>
    <t>GREEN MARK TOTAL</t>
  </si>
  <si>
    <t>GREEN MARK AWARD TARGET:</t>
  </si>
  <si>
    <t>Platinum</t>
  </si>
  <si>
    <t>Adoption of Renewable Energy</t>
  </si>
  <si>
    <t xml:space="preserve">GREEN MARK AWARD LEVEL </t>
  </si>
  <si>
    <t>PART 3 – RESOURCE STEWARDSHIP</t>
  </si>
  <si>
    <t>Water Efficient Fittings</t>
  </si>
  <si>
    <t>WATER</t>
  </si>
  <si>
    <t>Water Efficient Systems</t>
  </si>
  <si>
    <t>MATERIALS</t>
  </si>
  <si>
    <t>WASTE</t>
  </si>
  <si>
    <t>Environmental Construction Management Plan</t>
  </si>
  <si>
    <t>Windows and curtain wall systems' air leakage rate</t>
  </si>
  <si>
    <t>Air Conditioning  System Efficiency</t>
  </si>
  <si>
    <t>Carpark Energy</t>
  </si>
  <si>
    <t>Energy Efficiency Practices, Design &amp; Features</t>
  </si>
  <si>
    <t xml:space="preserve">Contaminants </t>
  </si>
  <si>
    <t>Integrated Landscape &amp; Waterscape</t>
  </si>
  <si>
    <t>Sub-Total</t>
  </si>
  <si>
    <t>COMPLIANCE/ ELIGIBILILTY</t>
  </si>
  <si>
    <t xml:space="preserve">Gold </t>
  </si>
  <si>
    <r>
      <t>Gold</t>
    </r>
    <r>
      <rPr>
        <b/>
        <vertAlign val="superscript"/>
        <sz val="8"/>
        <rFont val="Cambria"/>
        <family val="1"/>
      </rPr>
      <t>PLUS</t>
    </r>
  </si>
  <si>
    <t>Pre-Requisites</t>
  </si>
  <si>
    <t>Y/N</t>
  </si>
  <si>
    <t>Input #</t>
  </si>
  <si>
    <t>%</t>
  </si>
  <si>
    <t>Select</t>
  </si>
  <si>
    <t>Input # of Approved Items</t>
  </si>
  <si>
    <t>Input # of approved provision</t>
  </si>
  <si>
    <t>N/A</t>
  </si>
  <si>
    <t>RETV of W, SW and NW facades of all buildings are &lt;= 25W/m2</t>
  </si>
  <si>
    <t>OK</t>
  </si>
  <si>
    <t>Non-compliance</t>
  </si>
  <si>
    <t>Gold</t>
  </si>
  <si>
    <r>
      <t>Gold</t>
    </r>
    <r>
      <rPr>
        <vertAlign val="superscript"/>
        <sz val="11"/>
        <color theme="1"/>
        <rFont val="Calibri"/>
        <family val="2"/>
        <scheme val="minor"/>
      </rPr>
      <t>PLUS</t>
    </r>
  </si>
  <si>
    <t>Subjected to full compliance of relevant pre-requisites</t>
  </si>
  <si>
    <t>Indicate targeted award here</t>
  </si>
  <si>
    <t>Mechanically Ventilated (with CO sensors)</t>
  </si>
  <si>
    <t>&lt;Enter Project Name&gt;</t>
  </si>
  <si>
    <t>History of amendments</t>
  </si>
  <si>
    <t>S/N</t>
  </si>
  <si>
    <t>Version No.</t>
  </si>
  <si>
    <t>Remarks/Brief Description of changes</t>
  </si>
  <si>
    <t>Effective date</t>
  </si>
  <si>
    <t xml:space="preserve">  </t>
  </si>
  <si>
    <t>Launch for Implementation</t>
  </si>
  <si>
    <t xml:space="preserve">Current Version:  </t>
  </si>
  <si>
    <t>Score Card_GM2016_R0</t>
  </si>
  <si>
    <t>Provision of recycling facilities in common areas for collection and storage of different recyclable waste such as paper, glass, metal and plastic in co-mingled or sorted form.</t>
  </si>
  <si>
    <t xml:space="preserve">Web portal or dashboard which promotes recycling efforts. </t>
  </si>
  <si>
    <t>Provision of facilities for the storage and composting of horticultural waste in common areas.</t>
  </si>
  <si>
    <t>Score Card_GM2016_R1</t>
  </si>
  <si>
    <t>Updated Section 3.03b to align with base criteria</t>
  </si>
  <si>
    <t>P.1</t>
  </si>
  <si>
    <t>P.2</t>
  </si>
  <si>
    <t>P.3</t>
  </si>
  <si>
    <t>P.4</t>
  </si>
  <si>
    <t>1.1a</t>
  </si>
  <si>
    <t>1.1b</t>
  </si>
  <si>
    <t>1.1c</t>
  </si>
  <si>
    <t>1.1d</t>
  </si>
  <si>
    <t>1.1e</t>
  </si>
  <si>
    <t>1.2a</t>
  </si>
  <si>
    <t>1.2b</t>
  </si>
  <si>
    <t>1.3a</t>
  </si>
  <si>
    <t>1.3b</t>
  </si>
  <si>
    <t>1.3c</t>
  </si>
  <si>
    <t>P.5</t>
  </si>
  <si>
    <t>P.6</t>
  </si>
  <si>
    <t>P.7</t>
  </si>
  <si>
    <t>P.8</t>
  </si>
  <si>
    <t>2.1a</t>
  </si>
  <si>
    <t>2.1b</t>
  </si>
  <si>
    <t>2.1c</t>
  </si>
  <si>
    <t>2.2a</t>
  </si>
  <si>
    <t>2.3a</t>
  </si>
  <si>
    <t>2.3b</t>
  </si>
  <si>
    <t>2.3c</t>
  </si>
  <si>
    <t>P.9</t>
  </si>
  <si>
    <t>3.1a</t>
  </si>
  <si>
    <t>3.1b</t>
  </si>
  <si>
    <t>3.1c</t>
  </si>
  <si>
    <t>3.2a</t>
  </si>
  <si>
    <t>3.2b</t>
  </si>
  <si>
    <t>3.2c</t>
  </si>
  <si>
    <t>3.3a</t>
  </si>
  <si>
    <t>3.3b</t>
  </si>
  <si>
    <t>4.1a</t>
  </si>
  <si>
    <t>4.1b</t>
  </si>
  <si>
    <t>4.2a</t>
  </si>
  <si>
    <t>4.2b</t>
  </si>
  <si>
    <t>4.2c</t>
  </si>
  <si>
    <t>4.3a</t>
  </si>
  <si>
    <t>4.3b</t>
  </si>
  <si>
    <t>4.3c</t>
  </si>
  <si>
    <t>4.3d</t>
  </si>
  <si>
    <t>Sub-Total (1.1a)</t>
  </si>
  <si>
    <t>Sub-Total (1.1b)</t>
  </si>
  <si>
    <t>Sub-Total (1.1c)</t>
  </si>
  <si>
    <t>Sub-Total (1.1d)</t>
  </si>
  <si>
    <t>Sub-Total (1.1e)</t>
  </si>
  <si>
    <t>Sub-Total (1.2a)</t>
  </si>
  <si>
    <t>Sub-Total (1.2b)</t>
  </si>
  <si>
    <t>Sub-Total (1.3a)</t>
  </si>
  <si>
    <t>Sub-Total (1.3b)</t>
  </si>
  <si>
    <t>Sub-Total (1.3c)</t>
  </si>
  <si>
    <t># Development scoring for 1.3c (i) Ventilation Simulation Step 2 is not eligible to score under 1.3c (ii)</t>
  </si>
  <si>
    <t>Sub-Total (2.1a)</t>
  </si>
  <si>
    <t>Sub-Total (2.1b)</t>
  </si>
  <si>
    <t>Sub-Total (2.1c)</t>
  </si>
  <si>
    <t>Sub-Total (2.2a)</t>
  </si>
  <si>
    <t xml:space="preserve">2.3a </t>
  </si>
  <si>
    <t xml:space="preserve">2.3b </t>
  </si>
  <si>
    <t>Sub-Total (2.3a)</t>
  </si>
  <si>
    <t>Sub-Total (2.3b)</t>
  </si>
  <si>
    <t>Sub-Total (2.3c)</t>
  </si>
  <si>
    <t>Sub-Total (3.1a)</t>
  </si>
  <si>
    <t>Sub-Total (3.1b)</t>
  </si>
  <si>
    <t xml:space="preserve">3.1c </t>
  </si>
  <si>
    <t>Sub-Total (3.1c)</t>
  </si>
  <si>
    <t>Sub-Total (3.2a)</t>
  </si>
  <si>
    <t>Sub-Total (3.2b)</t>
  </si>
  <si>
    <t>Sub-Total (3.2c)</t>
  </si>
  <si>
    <t>Sub-Total (3.3a)</t>
  </si>
  <si>
    <t>Sub-Total (3.3b)</t>
  </si>
  <si>
    <t>Sub-Total (4.1a)</t>
  </si>
  <si>
    <t>Sub-Total (4.1b)</t>
  </si>
  <si>
    <t>Sub-Total (4.2a)</t>
  </si>
  <si>
    <t>Sub-Total (4.2b)</t>
  </si>
  <si>
    <t>Sub-Total (4.2c)</t>
  </si>
  <si>
    <t>Sub-Total (4.3a)</t>
  </si>
  <si>
    <t>Sub-Total (4.3b)</t>
  </si>
  <si>
    <t>Sub-Total (4.3c)</t>
  </si>
  <si>
    <t>Sub-Total (4.3d)</t>
  </si>
  <si>
    <t>Sub-Total (5.1a)</t>
  </si>
  <si>
    <t>Sub-Total (5.1b)</t>
  </si>
  <si>
    <t>Sub-Total (5.1c)</t>
  </si>
  <si>
    <t>Sub-Total (5.1d)</t>
  </si>
  <si>
    <t>Sub-Total (5.1e)</t>
  </si>
  <si>
    <t>Sub-Total (5.1f)</t>
  </si>
  <si>
    <t>Sub-Total (5.1g)</t>
  </si>
  <si>
    <t>Sub-Total (5.1h)</t>
  </si>
  <si>
    <t>Sub-Total (5.1i)</t>
  </si>
  <si>
    <t>Sub-Total (5.1j)</t>
  </si>
  <si>
    <t>Sub-Total (5.1k)</t>
  </si>
  <si>
    <t>Sub-Total (5.1l)</t>
  </si>
  <si>
    <t>Use either Pre-simulated Daylight Availability Tables</t>
  </si>
  <si>
    <t>Displaying Green Mark Credential</t>
  </si>
  <si>
    <t>The development display the GM plaque/decal at prominent location</t>
  </si>
  <si>
    <t>Façade Design Strategies</t>
  </si>
  <si>
    <t>For development with WWR =&lt;0.5 and at least 70% of units with cross ventilation and facing north and/or south</t>
  </si>
  <si>
    <t>Use monsoon windows that allow the outdoor air to flow into indoors without rain</t>
  </si>
  <si>
    <t>For development with gable walls designed with better thermal insulation (e.g. a layer of air gap, polystyrene, etc)</t>
  </si>
  <si>
    <t>m</t>
  </si>
  <si>
    <t>n</t>
  </si>
  <si>
    <t>Sub-Total (5.1m)</t>
  </si>
  <si>
    <t>Sub-Total (5.1n)</t>
  </si>
  <si>
    <t>Adoption of sustainable building system with total coverage areas</t>
  </si>
  <si>
    <t>Y</t>
  </si>
  <si>
    <t>Score Card_GM2016_R2</t>
  </si>
  <si>
    <t xml:space="preserve">Reformatting, minor wording and examples amendments </t>
  </si>
  <si>
    <t>Environmental Impact Statement</t>
  </si>
  <si>
    <t xml:space="preserve">Environmental Study </t>
  </si>
  <si>
    <t>Green Transport</t>
  </si>
  <si>
    <t>Green Plot Ratio (GnPR)</t>
  </si>
  <si>
    <t>Effective Daylighting</t>
  </si>
  <si>
    <t>GM AP/GM AP(FM)</t>
  </si>
  <si>
    <t>GM AAP/GM AAP(FM)</t>
  </si>
  <si>
    <t>COP100% ≥ 4.86 and weighted COP ≥ 5.50</t>
  </si>
  <si>
    <t>Prescribed energy performance standard of Air-conditioners covering at least 80% of dwelling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</si>
</sst>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b/>
      <sz val="9"/>
      <color theme="0"/>
      <name val="Cambria"/>
      <family val="1"/>
    </font>
    <font>
      <b/>
      <sz val="9"/>
      <color theme="1"/>
      <name val="Cambria"/>
      <family val="1"/>
    </font>
    <font>
      <sz val="8"/>
      <color theme="1"/>
      <name val="Cambria"/>
      <family val="1"/>
    </font>
    <font>
      <b/>
      <sz val="8"/>
      <color theme="0"/>
      <name val="Cambria"/>
      <family val="1"/>
    </font>
    <font>
      <b/>
      <sz val="8"/>
      <color theme="1"/>
      <name val="Cambria"/>
      <family val="1"/>
    </font>
    <font>
      <b/>
      <sz val="8"/>
      <name val="Cambria"/>
      <family val="1"/>
    </font>
    <font>
      <sz val="8"/>
      <name val="Cambria"/>
      <family val="1"/>
    </font>
    <font>
      <sz val="8"/>
      <color rgb="FF3F3F76"/>
      <name val="Cambria"/>
      <family val="1"/>
    </font>
    <font>
      <i/>
      <sz val="8"/>
      <color theme="1"/>
      <name val="Cambria"/>
      <family val="1"/>
    </font>
    <font>
      <sz val="8"/>
      <color rgb="FF000000"/>
      <name val="Cambria"/>
      <family val="1"/>
    </font>
    <font>
      <vertAlign val="superscript"/>
      <sz val="8"/>
      <color theme="1"/>
      <name val="Cambria"/>
      <family val="1"/>
    </font>
    <font>
      <b/>
      <i/>
      <sz val="8"/>
      <color theme="1"/>
      <name val="Cambria"/>
      <family val="1"/>
    </font>
    <font>
      <b/>
      <i/>
      <u/>
      <sz val="8"/>
      <color theme="1"/>
      <name val="Cambria"/>
      <family val="1"/>
    </font>
    <font>
      <u/>
      <sz val="8"/>
      <color theme="1"/>
      <name val="Cambria"/>
      <family val="1"/>
    </font>
    <font>
      <sz val="10"/>
      <name val="Arial"/>
      <family val="2"/>
    </font>
    <font>
      <b/>
      <sz val="12"/>
      <name val="Cambria"/>
      <family val="1"/>
    </font>
    <font>
      <sz val="10"/>
      <name val="Cambria"/>
      <family val="1"/>
    </font>
    <font>
      <b/>
      <sz val="10"/>
      <color rgb="FFFFFFFF"/>
      <name val="Cambria"/>
      <family val="1"/>
    </font>
    <font>
      <sz val="9"/>
      <name val="Cambria"/>
      <family val="1"/>
    </font>
    <font>
      <b/>
      <sz val="10"/>
      <name val="Cambria"/>
      <family val="1"/>
    </font>
    <font>
      <sz val="10"/>
      <color theme="0"/>
      <name val="Cambria"/>
      <family val="1"/>
    </font>
    <font>
      <sz val="9"/>
      <color theme="1"/>
      <name val="Cambria"/>
      <family val="1"/>
    </font>
    <font>
      <b/>
      <vertAlign val="superscript"/>
      <sz val="8"/>
      <name val="Cambria"/>
      <family val="1"/>
    </font>
    <font>
      <sz val="6"/>
      <color theme="1"/>
      <name val="Cambria"/>
      <family val="1"/>
    </font>
    <font>
      <vertAlign val="superscript"/>
      <sz val="11"/>
      <color theme="1"/>
      <name val="Calibri"/>
      <family val="2"/>
      <scheme val="minor"/>
    </font>
    <font>
      <sz val="8"/>
      <color rgb="FF000000"/>
      <name val="Segoe UI"/>
      <family val="2"/>
    </font>
    <font>
      <sz val="8"/>
      <color theme="3"/>
      <name val="Cambria"/>
      <family val="1"/>
    </font>
    <font>
      <sz val="11"/>
      <color theme="0" tint="-0.499984740745262"/>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sz val="12"/>
      <name val="Calibri"/>
      <family val="2"/>
      <scheme val="minor"/>
    </font>
    <font>
      <sz val="12"/>
      <color theme="1"/>
      <name val="Calibri"/>
      <family val="2"/>
      <scheme val="minor"/>
    </font>
  </fonts>
  <fills count="34">
    <fill>
      <patternFill patternType="none"/>
    </fill>
    <fill>
      <patternFill patternType="gray125"/>
    </fill>
    <fill>
      <patternFill patternType="solid">
        <fgColor rgb="FFFFCC99"/>
      </patternFill>
    </fill>
    <fill>
      <patternFill patternType="solid">
        <fgColor rgb="FFA5A5A5"/>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999999"/>
        <bgColor rgb="FF808080"/>
      </patternFill>
    </fill>
    <fill>
      <patternFill patternType="solid">
        <fgColor rgb="FFEEEEEE"/>
        <bgColor rgb="FFE6E6FF"/>
      </patternFill>
    </fill>
    <fill>
      <patternFill patternType="solid">
        <fgColor rgb="FFFFCC99"/>
        <bgColor rgb="FFF6BD84"/>
      </patternFill>
    </fill>
    <fill>
      <patternFill patternType="solid">
        <fgColor rgb="FF66FFFF"/>
        <bgColor rgb="FF99FF99"/>
      </patternFill>
    </fill>
    <fill>
      <patternFill patternType="solid">
        <fgColor theme="7" tint="-0.249977111117893"/>
        <bgColor indexed="64"/>
      </patternFill>
    </fill>
    <fill>
      <patternFill patternType="solid">
        <fgColor theme="8" tint="0.39997558519241921"/>
        <bgColor indexed="64"/>
      </patternFill>
    </fill>
    <fill>
      <patternFill patternType="solid">
        <fgColor rgb="FFFFC000"/>
        <bgColor rgb="FF808080"/>
      </patternFill>
    </fill>
    <fill>
      <patternFill patternType="solid">
        <fgColor theme="9" tint="0.39997558519241921"/>
        <bgColor rgb="FF808080"/>
      </patternFill>
    </fill>
    <fill>
      <patternFill patternType="solid">
        <fgColor theme="9" tint="0.39997558519241921"/>
        <bgColor rgb="FF993366"/>
      </patternFill>
    </fill>
    <fill>
      <patternFill patternType="solid">
        <fgColor theme="9" tint="0.39997558519241921"/>
        <bgColor rgb="FF008000"/>
      </patternFill>
    </fill>
    <fill>
      <patternFill patternType="solid">
        <fgColor theme="8" tint="0.39997558519241921"/>
        <bgColor rgb="FF993366"/>
      </patternFill>
    </fill>
    <fill>
      <patternFill patternType="solid">
        <fgColor theme="8" tint="0.39997558519241921"/>
        <bgColor rgb="FF808080"/>
      </patternFill>
    </fill>
    <fill>
      <patternFill patternType="solid">
        <fgColor theme="5" tint="0.39997558519241921"/>
        <bgColor rgb="FFFFCC00"/>
      </patternFill>
    </fill>
    <fill>
      <patternFill patternType="solid">
        <fgColor theme="5" tint="0.39997558519241921"/>
        <bgColor rgb="FF808080"/>
      </patternFill>
    </fill>
    <fill>
      <patternFill patternType="solid">
        <fgColor rgb="FFFFC000"/>
        <bgColor rgb="FFFFFF00"/>
      </patternFill>
    </fill>
    <fill>
      <patternFill patternType="solid">
        <fgColor theme="8" tint="0.39997558519241921"/>
        <bgColor rgb="FFEEEEEE"/>
      </patternFill>
    </fill>
    <fill>
      <patternFill patternType="solid">
        <fgColor theme="9" tint="0.39997558519241921"/>
        <bgColor rgb="FFEEEEEE"/>
      </patternFill>
    </fill>
    <fill>
      <patternFill patternType="solid">
        <fgColor theme="0" tint="-0.499984740745262"/>
        <bgColor indexed="64"/>
      </patternFill>
    </fill>
    <fill>
      <patternFill patternType="solid">
        <fgColor rgb="FFFF0000"/>
        <bgColor indexed="64"/>
      </patternFill>
    </fill>
    <fill>
      <patternFill patternType="solid">
        <fgColor theme="0"/>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ashed">
        <color auto="1"/>
      </top>
      <bottom style="dashed">
        <color auto="1"/>
      </bottom>
      <diagonal/>
    </border>
    <border>
      <left/>
      <right/>
      <top/>
      <bottom style="dashed">
        <color auto="1"/>
      </bottom>
      <diagonal/>
    </border>
    <border>
      <left style="thin">
        <color indexed="64"/>
      </left>
      <right/>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dashed">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5">
    <xf numFmtId="0" fontId="0" fillId="0" borderId="0"/>
    <xf numFmtId="0" fontId="1" fillId="2" borderId="1" applyNumberFormat="0" applyAlignment="0" applyProtection="0"/>
    <xf numFmtId="0" fontId="2" fillId="3" borderId="2" applyNumberFormat="0" applyAlignment="0" applyProtection="0"/>
    <xf numFmtId="0" fontId="18" fillId="0" borderId="0"/>
    <xf numFmtId="0" fontId="34" fillId="0" borderId="0" applyNumberFormat="0" applyFill="0" applyBorder="0" applyAlignment="0" applyProtection="0"/>
  </cellStyleXfs>
  <cellXfs count="281">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3" fillId="0" borderId="0" xfId="0" applyFont="1"/>
    <xf numFmtId="0" fontId="3" fillId="0" borderId="11" xfId="0" applyFont="1" applyBorder="1"/>
    <xf numFmtId="0" fontId="3" fillId="0" borderId="3" xfId="0" applyFont="1" applyBorder="1"/>
    <xf numFmtId="0" fontId="0" fillId="0" borderId="12" xfId="0" applyBorder="1"/>
    <xf numFmtId="0" fontId="3" fillId="0" borderId="12" xfId="0" applyFont="1" applyBorder="1"/>
    <xf numFmtId="2" fontId="9" fillId="0" borderId="0" xfId="2" applyNumberFormat="1" applyFont="1" applyFill="1" applyBorder="1" applyAlignment="1">
      <alignment vertical="center"/>
    </xf>
    <xf numFmtId="0" fontId="6" fillId="0" borderId="0" xfId="0" quotePrefix="1"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wrapText="1"/>
    </xf>
    <xf numFmtId="0" fontId="10" fillId="0" borderId="0" xfId="0" applyFont="1" applyFill="1" applyBorder="1" applyAlignment="1">
      <alignment horizontal="center" vertical="center"/>
    </xf>
    <xf numFmtId="2" fontId="9" fillId="0" borderId="0" xfId="2" applyNumberFormat="1" applyFont="1" applyFill="1" applyBorder="1" applyAlignment="1">
      <alignment horizontal="center" vertical="center"/>
    </xf>
    <xf numFmtId="0" fontId="6" fillId="0" borderId="0" xfId="0" applyFont="1" applyBorder="1" applyAlignment="1">
      <alignment horizontal="left" vertical="center" wrapText="1"/>
    </xf>
    <xf numFmtId="2" fontId="4" fillId="12" borderId="0" xfId="2" applyNumberFormat="1" applyFont="1" applyFill="1" applyBorder="1" applyAlignment="1">
      <alignment horizontal="center" vertical="center"/>
    </xf>
    <xf numFmtId="0" fontId="5" fillId="12" borderId="0" xfId="0" applyFont="1" applyFill="1" applyBorder="1" applyAlignment="1">
      <alignment vertical="center"/>
    </xf>
    <xf numFmtId="0" fontId="6" fillId="11" borderId="0" xfId="0" applyFont="1" applyFill="1" applyBorder="1" applyAlignment="1">
      <alignment horizontal="center" vertical="center"/>
    </xf>
    <xf numFmtId="0" fontId="4" fillId="11" borderId="0" xfId="2" applyFont="1" applyFill="1" applyBorder="1" applyAlignment="1">
      <alignment horizontal="center" vertical="center"/>
    </xf>
    <xf numFmtId="0" fontId="5" fillId="11" borderId="0" xfId="0" applyFont="1" applyFill="1" applyBorder="1" applyAlignment="1">
      <alignment vertical="center"/>
    </xf>
    <xf numFmtId="2" fontId="4" fillId="11" borderId="0" xfId="2" applyNumberFormat="1" applyFont="1" applyFill="1" applyBorder="1" applyAlignment="1">
      <alignment horizontal="center" vertical="center"/>
    </xf>
    <xf numFmtId="0" fontId="5" fillId="6" borderId="0" xfId="0" applyFont="1" applyFill="1" applyBorder="1" applyAlignment="1">
      <alignment vertical="center"/>
    </xf>
    <xf numFmtId="0" fontId="6" fillId="12" borderId="0" xfId="0"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6" fillId="0" borderId="0" xfId="0" applyFont="1" applyBorder="1" applyAlignment="1">
      <alignment horizontal="left" vertical="center"/>
    </xf>
    <xf numFmtId="0" fontId="8" fillId="13" borderId="0" xfId="0" applyFont="1" applyFill="1" applyBorder="1" applyAlignment="1">
      <alignment horizontal="center" vertical="center"/>
    </xf>
    <xf numFmtId="0" fontId="6" fillId="13" borderId="0" xfId="0" applyFont="1" applyFill="1" applyBorder="1" applyAlignment="1">
      <alignment horizontal="center" vertical="center"/>
    </xf>
    <xf numFmtId="0" fontId="8" fillId="0" borderId="0" xfId="0" applyFont="1" applyBorder="1" applyAlignment="1">
      <alignment horizontal="center" vertical="center"/>
    </xf>
    <xf numFmtId="0" fontId="8" fillId="4" borderId="0" xfId="0" applyFont="1" applyFill="1" applyBorder="1" applyAlignment="1">
      <alignment horizontal="center" vertical="center"/>
    </xf>
    <xf numFmtId="0" fontId="6" fillId="0" borderId="0" xfId="0" applyFont="1" applyBorder="1" applyAlignment="1">
      <alignment horizontal="left" vertical="center" wrapText="1" indent="1"/>
    </xf>
    <xf numFmtId="0" fontId="6" fillId="0" borderId="0" xfId="0" applyFont="1" applyBorder="1" applyAlignment="1">
      <alignment horizontal="center" vertical="center"/>
    </xf>
    <xf numFmtId="0" fontId="6" fillId="0" borderId="0" xfId="0" applyFont="1" applyBorder="1"/>
    <xf numFmtId="2" fontId="5" fillId="13" borderId="0" xfId="0" applyNumberFormat="1" applyFont="1" applyFill="1" applyBorder="1" applyAlignment="1">
      <alignment horizontal="left" vertical="center"/>
    </xf>
    <xf numFmtId="0" fontId="5" fillId="13" borderId="0" xfId="0" applyFont="1" applyFill="1" applyBorder="1" applyAlignment="1">
      <alignment horizontal="left" vertical="center" wrapText="1"/>
    </xf>
    <xf numFmtId="0" fontId="5" fillId="13" borderId="0" xfId="0" applyFont="1" applyFill="1" applyBorder="1" applyAlignment="1">
      <alignment vertical="center"/>
    </xf>
    <xf numFmtId="2" fontId="4" fillId="13" borderId="0" xfId="2" applyNumberFormat="1" applyFont="1" applyFill="1" applyBorder="1" applyAlignment="1">
      <alignment horizontal="center" vertical="center"/>
    </xf>
    <xf numFmtId="0" fontId="4" fillId="13" borderId="0" xfId="2" applyFont="1" applyFill="1" applyBorder="1" applyAlignment="1">
      <alignment horizontal="center" vertical="center"/>
    </xf>
    <xf numFmtId="0" fontId="8" fillId="13" borderId="0" xfId="0" applyFont="1" applyFill="1" applyBorder="1"/>
    <xf numFmtId="0" fontId="8" fillId="0" borderId="0" xfId="0" applyFont="1" applyBorder="1"/>
    <xf numFmtId="0" fontId="5" fillId="6" borderId="0" xfId="0" applyFont="1" applyFill="1" applyBorder="1" applyAlignment="1">
      <alignment horizontal="center" vertical="center"/>
    </xf>
    <xf numFmtId="0" fontId="7" fillId="3" borderId="0" xfId="2" applyFont="1" applyBorder="1" applyAlignment="1">
      <alignment horizontal="center" vertical="center"/>
    </xf>
    <xf numFmtId="0" fontId="8" fillId="6" borderId="0" xfId="0" applyFont="1" applyFill="1" applyBorder="1" applyAlignment="1">
      <alignment horizontal="center" vertical="center"/>
    </xf>
    <xf numFmtId="0" fontId="11" fillId="2" borderId="0" xfId="1" applyFont="1" applyBorder="1" applyAlignment="1" applyProtection="1">
      <alignment horizontal="center" vertical="center"/>
      <protection locked="0"/>
    </xf>
    <xf numFmtId="0" fontId="8" fillId="13" borderId="0" xfId="0" applyFont="1" applyFill="1" applyBorder="1" applyAlignment="1">
      <alignment horizontal="left" vertical="center" wrapText="1"/>
    </xf>
    <xf numFmtId="0" fontId="8" fillId="6" borderId="0" xfId="0" applyFont="1" applyFill="1" applyBorder="1" applyAlignment="1">
      <alignment horizontal="right" vertical="center"/>
    </xf>
    <xf numFmtId="0" fontId="6" fillId="0" borderId="0" xfId="0" applyFont="1" applyBorder="1" applyAlignment="1">
      <alignment horizontal="left" vertical="center" wrapText="1" indent="2"/>
    </xf>
    <xf numFmtId="0" fontId="8" fillId="0" borderId="0" xfId="0" applyFont="1" applyFill="1" applyBorder="1" applyAlignment="1">
      <alignment vertical="center"/>
    </xf>
    <xf numFmtId="0" fontId="8" fillId="0" borderId="0" xfId="0" applyFont="1" applyBorder="1" applyAlignment="1">
      <alignment horizontal="center" vertical="center" wrapText="1"/>
    </xf>
    <xf numFmtId="0" fontId="27" fillId="0" borderId="0" xfId="0" applyFont="1" applyBorder="1"/>
    <xf numFmtId="0" fontId="27" fillId="0" borderId="0" xfId="0" applyFont="1" applyBorder="1" applyAlignment="1">
      <alignment horizontal="center" vertical="center"/>
    </xf>
    <xf numFmtId="0" fontId="5" fillId="13" borderId="0" xfId="0" applyFont="1" applyFill="1" applyBorder="1" applyAlignment="1">
      <alignment horizontal="left" vertical="center"/>
    </xf>
    <xf numFmtId="0" fontId="4" fillId="3" borderId="0" xfId="2" applyFont="1" applyBorder="1" applyAlignment="1">
      <alignment horizontal="center" vertical="center"/>
    </xf>
    <xf numFmtId="2" fontId="5" fillId="6" borderId="0" xfId="0" applyNumberFormat="1" applyFont="1" applyFill="1" applyBorder="1" applyAlignment="1">
      <alignment horizontal="center" vertical="center"/>
    </xf>
    <xf numFmtId="0" fontId="5" fillId="0" borderId="0" xfId="0" applyFont="1" applyBorder="1"/>
    <xf numFmtId="2" fontId="11" fillId="2" borderId="0" xfId="1" applyNumberFormat="1" applyFont="1" applyBorder="1" applyAlignment="1" applyProtection="1">
      <alignment horizontal="center" vertical="center"/>
      <protection locked="0"/>
    </xf>
    <xf numFmtId="2" fontId="6" fillId="0" borderId="0" xfId="0" applyNumberFormat="1" applyFont="1" applyBorder="1" applyAlignment="1">
      <alignment horizontal="center" vertical="center"/>
    </xf>
    <xf numFmtId="2" fontId="6" fillId="13" borderId="0" xfId="0" applyNumberFormat="1" applyFont="1" applyFill="1" applyBorder="1" applyAlignment="1">
      <alignment horizontal="center" vertical="center"/>
    </xf>
    <xf numFmtId="0" fontId="6" fillId="8" borderId="0" xfId="0" applyFont="1" applyFill="1" applyBorder="1" applyAlignment="1" applyProtection="1">
      <alignment horizontal="center" vertical="center"/>
      <protection locked="0"/>
    </xf>
    <xf numFmtId="0" fontId="6" fillId="0" borderId="0" xfId="0" applyFont="1" applyFill="1" applyBorder="1" applyAlignment="1">
      <alignment horizontal="left" vertical="center" wrapText="1" indent="1"/>
    </xf>
    <xf numFmtId="0" fontId="11" fillId="0" borderId="0" xfId="1" applyFont="1" applyFill="1" applyBorder="1" applyAlignment="1">
      <alignment horizontal="center" vertical="center"/>
    </xf>
    <xf numFmtId="0" fontId="2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2" fillId="0" borderId="0" xfId="0" applyFont="1" applyBorder="1"/>
    <xf numFmtId="2" fontId="5" fillId="12" borderId="0" xfId="0" applyNumberFormat="1" applyFont="1" applyFill="1" applyBorder="1" applyAlignment="1">
      <alignment horizontal="left" vertical="center"/>
    </xf>
    <xf numFmtId="0" fontId="5" fillId="12" borderId="0" xfId="0" applyFont="1" applyFill="1" applyBorder="1" applyAlignment="1">
      <alignment horizontal="left" vertical="center" wrapText="1"/>
    </xf>
    <xf numFmtId="0" fontId="5" fillId="12" borderId="0" xfId="0" applyFont="1" applyFill="1" applyBorder="1" applyAlignment="1">
      <alignment horizontal="center" vertical="center"/>
    </xf>
    <xf numFmtId="0" fontId="6" fillId="0" borderId="0" xfId="0" applyFont="1" applyBorder="1" applyAlignment="1">
      <alignment horizontal="left"/>
    </xf>
    <xf numFmtId="2" fontId="8" fillId="6" borderId="0"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0" fontId="8" fillId="12" borderId="0" xfId="0" applyFont="1" applyFill="1" applyBorder="1" applyAlignment="1">
      <alignment horizontal="center" vertical="center"/>
    </xf>
    <xf numFmtId="2" fontId="6" fillId="12" borderId="0"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5" fillId="12" borderId="0" xfId="0" applyFont="1" applyFill="1" applyBorder="1" applyAlignment="1">
      <alignment horizontal="left"/>
    </xf>
    <xf numFmtId="0" fontId="5" fillId="12" borderId="0" xfId="0" applyFont="1" applyFill="1" applyBorder="1" applyAlignment="1">
      <alignment horizontal="left" vertical="center"/>
    </xf>
    <xf numFmtId="0" fontId="4" fillId="12" borderId="0" xfId="2" applyFont="1" applyFill="1" applyBorder="1" applyAlignment="1">
      <alignment horizontal="center" vertical="center"/>
    </xf>
    <xf numFmtId="2" fontId="5" fillId="11" borderId="0" xfId="0" applyNumberFormat="1" applyFont="1" applyFill="1" applyBorder="1" applyAlignment="1">
      <alignment horizontal="left" vertical="center"/>
    </xf>
    <xf numFmtId="0" fontId="5" fillId="11" borderId="0" xfId="0" applyFont="1" applyFill="1" applyBorder="1" applyAlignment="1">
      <alignment horizontal="left" vertical="center" wrapText="1"/>
    </xf>
    <xf numFmtId="0" fontId="5" fillId="11" borderId="0" xfId="0" applyFont="1" applyFill="1" applyBorder="1" applyAlignment="1">
      <alignment horizontal="center" vertical="center"/>
    </xf>
    <xf numFmtId="0" fontId="8" fillId="9" borderId="0" xfId="0" applyFont="1" applyFill="1" applyBorder="1" applyAlignment="1">
      <alignment horizontal="center" vertical="center"/>
    </xf>
    <xf numFmtId="2" fontId="13" fillId="0" borderId="0" xfId="0" applyNumberFormat="1" applyFont="1" applyFill="1" applyBorder="1" applyAlignment="1">
      <alignment horizontal="center" vertical="center"/>
    </xf>
    <xf numFmtId="0" fontId="6" fillId="0" borderId="0" xfId="0" applyFont="1" applyFill="1" applyBorder="1" applyAlignment="1">
      <alignment horizontal="left" vertical="center" wrapText="1" indent="2"/>
    </xf>
    <xf numFmtId="0" fontId="6" fillId="0" borderId="0" xfId="0" applyFont="1" applyBorder="1" applyAlignment="1">
      <alignment horizontal="right" vertical="center" wrapText="1"/>
    </xf>
    <xf numFmtId="0" fontId="6" fillId="4" borderId="0" xfId="0" applyFont="1" applyFill="1" applyBorder="1" applyAlignment="1">
      <alignment horizontal="center" vertical="center"/>
    </xf>
    <xf numFmtId="0" fontId="8" fillId="11" borderId="0" xfId="0" applyFont="1" applyFill="1" applyBorder="1" applyAlignment="1">
      <alignment horizontal="center" vertical="center"/>
    </xf>
    <xf numFmtId="2" fontId="6" fillId="11" borderId="0" xfId="0" applyNumberFormat="1" applyFont="1" applyFill="1" applyBorder="1" applyAlignment="1">
      <alignment horizontal="center" vertical="center"/>
    </xf>
    <xf numFmtId="0" fontId="5" fillId="11" borderId="0" xfId="0" applyFont="1" applyFill="1" applyBorder="1" applyAlignment="1">
      <alignment horizontal="left" vertical="center"/>
    </xf>
    <xf numFmtId="0" fontId="5" fillId="9" borderId="0" xfId="0" applyFont="1" applyFill="1" applyBorder="1" applyAlignment="1">
      <alignment vertical="center"/>
    </xf>
    <xf numFmtId="0" fontId="5" fillId="9" borderId="0" xfId="0" applyFont="1" applyFill="1" applyBorder="1" applyAlignment="1">
      <alignment horizontal="center" vertical="center"/>
    </xf>
    <xf numFmtId="0" fontId="6" fillId="10" borderId="0" xfId="0" applyFont="1" applyFill="1" applyBorder="1" applyAlignment="1">
      <alignment horizontal="center" vertical="center"/>
    </xf>
    <xf numFmtId="0" fontId="6" fillId="0" borderId="0" xfId="0" applyFont="1" applyFill="1" applyBorder="1" applyAlignment="1">
      <alignment horizontal="left" vertical="center"/>
    </xf>
    <xf numFmtId="0" fontId="8" fillId="0" borderId="0" xfId="0" applyFont="1" applyBorder="1" applyAlignment="1">
      <alignment horizontal="left" vertical="center"/>
    </xf>
    <xf numFmtId="0" fontId="6" fillId="11" borderId="0" xfId="0" applyFont="1" applyFill="1" applyBorder="1" applyAlignment="1">
      <alignment horizontal="center" vertical="center" wrapText="1"/>
    </xf>
    <xf numFmtId="0" fontId="6" fillId="31" borderId="0" xfId="0" applyFont="1" applyFill="1" applyBorder="1" applyAlignment="1">
      <alignment horizontal="center" vertical="center" wrapText="1"/>
    </xf>
    <xf numFmtId="0" fontId="6" fillId="32" borderId="0" xfId="0" applyFont="1" applyFill="1" applyBorder="1" applyAlignment="1">
      <alignment horizontal="center" vertical="center" wrapText="1"/>
    </xf>
    <xf numFmtId="0" fontId="6" fillId="32" borderId="0" xfId="0" applyFont="1" applyFill="1" applyBorder="1" applyAlignment="1">
      <alignment horizontal="center" vertical="center"/>
    </xf>
    <xf numFmtId="0" fontId="6" fillId="31" borderId="0" xfId="0" applyFont="1" applyFill="1" applyBorder="1" applyAlignment="1">
      <alignment horizontal="center" vertical="center"/>
    </xf>
    <xf numFmtId="0" fontId="20" fillId="12" borderId="0" xfId="3" applyFont="1" applyFill="1" applyBorder="1" applyAlignment="1" applyProtection="1">
      <alignment horizontal="center"/>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horizontal="center" vertical="center"/>
      <protection locked="0"/>
    </xf>
    <xf numFmtId="2" fontId="5" fillId="5" borderId="0" xfId="0" applyNumberFormat="1" applyFont="1" applyFill="1" applyBorder="1" applyAlignment="1" applyProtection="1">
      <alignment horizontal="left" vertical="center"/>
    </xf>
    <xf numFmtId="0" fontId="5" fillId="5" borderId="0" xfId="0" applyFont="1" applyFill="1" applyBorder="1" applyAlignment="1" applyProtection="1">
      <alignment horizontal="left" vertical="center" wrapText="1"/>
    </xf>
    <xf numFmtId="0" fontId="5" fillId="5" borderId="0" xfId="0" applyFont="1" applyFill="1" applyBorder="1" applyAlignment="1" applyProtection="1">
      <alignment vertical="center"/>
    </xf>
    <xf numFmtId="2" fontId="4" fillId="5" borderId="0" xfId="2" applyNumberFormat="1" applyFont="1" applyFill="1" applyBorder="1" applyAlignment="1" applyProtection="1">
      <alignment horizontal="center" vertical="center"/>
    </xf>
    <xf numFmtId="0" fontId="5" fillId="6" borderId="0" xfId="0" applyFont="1" applyFill="1" applyBorder="1" applyAlignment="1" applyProtection="1">
      <alignment vertical="center"/>
    </xf>
    <xf numFmtId="0" fontId="5" fillId="5" borderId="0" xfId="0" applyFont="1" applyFill="1" applyBorder="1" applyAlignment="1" applyProtection="1">
      <alignment horizontal="center" vertical="center"/>
    </xf>
    <xf numFmtId="0" fontId="5" fillId="0" borderId="0" xfId="0" applyFont="1" applyBorder="1" applyProtection="1"/>
    <xf numFmtId="2" fontId="9" fillId="0" borderId="0" xfId="2" applyNumberFormat="1" applyFont="1" applyFill="1" applyBorder="1" applyAlignment="1" applyProtection="1">
      <alignment vertical="center"/>
    </xf>
    <xf numFmtId="0" fontId="6" fillId="0" borderId="0" xfId="0" applyFont="1" applyBorder="1" applyProtection="1"/>
    <xf numFmtId="2" fontId="9" fillId="0" borderId="0" xfId="2" applyNumberFormat="1"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center" vertical="center"/>
    </xf>
    <xf numFmtId="0" fontId="6" fillId="0" borderId="0" xfId="0" applyFont="1" applyBorder="1" applyAlignment="1" applyProtection="1">
      <alignment vertical="center"/>
    </xf>
    <xf numFmtId="0" fontId="6" fillId="5" borderId="0" xfId="0" applyFont="1" applyFill="1" applyBorder="1" applyAlignment="1" applyProtection="1">
      <alignment horizontal="center" vertical="center"/>
    </xf>
    <xf numFmtId="0" fontId="8" fillId="6" borderId="0" xfId="0" applyFont="1" applyFill="1" applyBorder="1" applyAlignment="1" applyProtection="1">
      <alignment horizontal="center" vertical="center"/>
    </xf>
    <xf numFmtId="0" fontId="4" fillId="5" borderId="0" xfId="2" applyFont="1" applyFill="1" applyBorder="1" applyAlignment="1" applyProtection="1">
      <alignment horizontal="center" vertical="center"/>
    </xf>
    <xf numFmtId="0" fontId="4" fillId="3" borderId="0" xfId="2" applyFont="1" applyBorder="1" applyAlignment="1" applyProtection="1">
      <alignment horizontal="center" vertical="center"/>
    </xf>
    <xf numFmtId="0" fontId="5" fillId="9" borderId="0" xfId="0" applyFont="1" applyFill="1" applyBorder="1" applyAlignment="1" applyProtection="1">
      <alignment horizontal="center" vertical="center"/>
    </xf>
    <xf numFmtId="0" fontId="8" fillId="5" borderId="0" xfId="0" applyFont="1" applyFill="1" applyBorder="1" applyAlignment="1" applyProtection="1">
      <alignment horizontal="center" vertical="center"/>
    </xf>
    <xf numFmtId="0" fontId="8" fillId="4" borderId="0" xfId="0" applyFont="1" applyFill="1" applyBorder="1" applyAlignment="1" applyProtection="1">
      <alignment horizontal="center" vertical="center"/>
    </xf>
    <xf numFmtId="0" fontId="6" fillId="0" borderId="0" xfId="0" applyFont="1" applyBorder="1" applyAlignment="1" applyProtection="1">
      <alignment horizontal="center" vertical="center" wrapText="1"/>
    </xf>
    <xf numFmtId="0" fontId="5" fillId="5" borderId="0" xfId="0" applyFont="1" applyFill="1" applyBorder="1" applyAlignment="1" applyProtection="1">
      <alignment horizontal="left" vertical="center"/>
    </xf>
    <xf numFmtId="0" fontId="5" fillId="9" borderId="0" xfId="0" applyFont="1" applyFill="1" applyBorder="1" applyAlignment="1" applyProtection="1">
      <alignment vertical="center"/>
    </xf>
    <xf numFmtId="0" fontId="8" fillId="0" borderId="0" xfId="0" applyFont="1" applyBorder="1" applyAlignment="1" applyProtection="1">
      <alignment horizontal="center" vertical="center" wrapText="1"/>
    </xf>
    <xf numFmtId="2" fontId="6" fillId="0" borderId="0" xfId="0" applyNumberFormat="1" applyFont="1" applyBorder="1" applyAlignment="1" applyProtection="1">
      <alignment horizontal="center" vertical="center"/>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wrapText="1" indent="2"/>
    </xf>
    <xf numFmtId="0" fontId="6" fillId="5" borderId="0" xfId="0" applyFont="1" applyFill="1" applyBorder="1" applyAlignment="1" applyProtection="1">
      <alignment horizontal="center"/>
    </xf>
    <xf numFmtId="0" fontId="6" fillId="0" borderId="0" xfId="0" applyFont="1" applyBorder="1" applyAlignment="1" applyProtection="1">
      <alignment vertical="center"/>
      <protection locked="0"/>
    </xf>
    <xf numFmtId="0" fontId="11" fillId="2" borderId="14" xfId="1" applyFont="1" applyBorder="1" applyAlignment="1" applyProtection="1">
      <alignment horizontal="center" vertical="center"/>
      <protection locked="0"/>
    </xf>
    <xf numFmtId="0" fontId="11" fillId="2" borderId="13" xfId="1" applyFont="1" applyBorder="1" applyAlignment="1" applyProtection="1">
      <alignment horizontal="center" vertical="center"/>
      <protection locked="0"/>
    </xf>
    <xf numFmtId="0" fontId="11" fillId="2" borderId="16" xfId="1" applyFont="1" applyBorder="1" applyAlignment="1" applyProtection="1">
      <alignment horizontal="center" vertical="center"/>
      <protection locked="0"/>
    </xf>
    <xf numFmtId="0" fontId="11" fillId="2" borderId="17" xfId="1" applyFont="1" applyBorder="1" applyAlignment="1" applyProtection="1">
      <alignment horizontal="center" vertical="center"/>
      <protection locked="0"/>
    </xf>
    <xf numFmtId="2" fontId="5" fillId="7" borderId="0" xfId="0" applyNumberFormat="1" applyFont="1" applyFill="1" applyBorder="1" applyAlignment="1" applyProtection="1">
      <alignment horizontal="left" vertical="center"/>
    </xf>
    <xf numFmtId="0" fontId="5" fillId="7" borderId="0" xfId="0" applyFont="1" applyFill="1" applyBorder="1" applyAlignment="1" applyProtection="1">
      <alignment horizontal="left" vertical="center" wrapText="1"/>
    </xf>
    <xf numFmtId="0" fontId="5" fillId="7" borderId="0" xfId="0" applyFont="1" applyFill="1" applyBorder="1" applyAlignment="1" applyProtection="1">
      <alignment vertical="center"/>
    </xf>
    <xf numFmtId="2" fontId="4" fillId="7" borderId="0" xfId="2" applyNumberFormat="1" applyFont="1" applyFill="1" applyBorder="1" applyAlignment="1" applyProtection="1">
      <alignment horizontal="center" vertical="center"/>
    </xf>
    <xf numFmtId="0" fontId="8" fillId="7" borderId="0" xfId="0" applyFont="1" applyFill="1" applyBorder="1" applyAlignment="1" applyProtection="1">
      <alignment vertical="center"/>
    </xf>
    <xf numFmtId="0" fontId="5" fillId="7" borderId="0" xfId="0" applyFont="1" applyFill="1" applyBorder="1" applyAlignment="1" applyProtection="1">
      <alignment horizontal="left" vertical="center"/>
    </xf>
    <xf numFmtId="0" fontId="5" fillId="7" borderId="0" xfId="0" applyFont="1" applyFill="1" applyBorder="1" applyAlignment="1" applyProtection="1">
      <alignment horizontal="center" vertical="center"/>
    </xf>
    <xf numFmtId="0" fontId="4" fillId="7" borderId="0" xfId="2" applyFont="1" applyFill="1" applyBorder="1" applyAlignment="1" applyProtection="1">
      <alignment horizontal="center" vertical="center"/>
    </xf>
    <xf numFmtId="0" fontId="8" fillId="7"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xf>
    <xf numFmtId="0" fontId="8" fillId="10" borderId="0" xfId="0" applyFont="1" applyFill="1" applyBorder="1" applyAlignment="1" applyProtection="1">
      <alignment horizontal="center" vertical="center"/>
    </xf>
    <xf numFmtId="0" fontId="11" fillId="2" borderId="14" xfId="1" applyFont="1" applyBorder="1" applyAlignment="1" applyProtection="1">
      <alignment horizontal="left" vertical="center" wrapText="1"/>
      <protection locked="0"/>
    </xf>
    <xf numFmtId="0" fontId="11" fillId="2" borderId="13" xfId="1" applyFont="1" applyBorder="1" applyAlignment="1" applyProtection="1">
      <alignment horizontal="left" vertical="center" wrapText="1"/>
      <protection locked="0"/>
    </xf>
    <xf numFmtId="0" fontId="11" fillId="2" borderId="14" xfId="1" applyFont="1" applyBorder="1" applyAlignment="1" applyProtection="1">
      <alignment horizontal="left" vertical="center"/>
      <protection locked="0"/>
    </xf>
    <xf numFmtId="0" fontId="11" fillId="2" borderId="13" xfId="1" applyFont="1" applyBorder="1" applyAlignment="1" applyProtection="1">
      <alignment horizontal="left" vertical="center"/>
      <protection locked="0"/>
    </xf>
    <xf numFmtId="0" fontId="11" fillId="2" borderId="18" xfId="1" applyFont="1" applyBorder="1" applyAlignment="1" applyProtection="1">
      <alignment horizontal="center" vertical="center"/>
      <protection locked="0"/>
    </xf>
    <xf numFmtId="2" fontId="30" fillId="10" borderId="0" xfId="0" applyNumberFormat="1" applyFont="1" applyFill="1" applyBorder="1" applyAlignment="1" applyProtection="1">
      <alignment horizontal="center" vertical="center"/>
    </xf>
    <xf numFmtId="0" fontId="34" fillId="0" borderId="0" xfId="4"/>
    <xf numFmtId="0" fontId="0" fillId="0" borderId="0" xfId="0" applyAlignment="1">
      <alignment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3" fillId="33" borderId="0" xfId="0" applyFont="1" applyFill="1"/>
    <xf numFmtId="0" fontId="32" fillId="0" borderId="21" xfId="0" applyFont="1" applyBorder="1" applyAlignment="1">
      <alignment vertical="center" wrapText="1"/>
    </xf>
    <xf numFmtId="0" fontId="0" fillId="0" borderId="22" xfId="0" applyFont="1" applyBorder="1" applyAlignment="1">
      <alignment vertical="center" wrapText="1"/>
    </xf>
    <xf numFmtId="15" fontId="0" fillId="0" borderId="22" xfId="0" applyNumberFormat="1" applyFont="1" applyBorder="1" applyAlignment="1">
      <alignment vertical="center" wrapText="1"/>
    </xf>
    <xf numFmtId="0" fontId="0" fillId="0" borderId="22" xfId="0" applyFont="1" applyFill="1" applyBorder="1" applyAlignment="1">
      <alignment vertical="center" wrapText="1"/>
    </xf>
    <xf numFmtId="15" fontId="0" fillId="0" borderId="22" xfId="0" applyNumberFormat="1" applyFont="1" applyFill="1" applyBorder="1" applyAlignment="1">
      <alignment vertical="center" wrapText="1"/>
    </xf>
    <xf numFmtId="15" fontId="0" fillId="33" borderId="22" xfId="0" applyNumberFormat="1" applyFont="1" applyFill="1" applyBorder="1" applyAlignment="1">
      <alignment vertical="center" wrapText="1"/>
    </xf>
    <xf numFmtId="0" fontId="32" fillId="0" borderId="21" xfId="0" applyFont="1" applyFill="1" applyBorder="1" applyAlignment="1">
      <alignment vertical="center" wrapText="1"/>
    </xf>
    <xf numFmtId="0" fontId="36" fillId="11" borderId="0" xfId="0" applyFont="1" applyFill="1" applyBorder="1" applyAlignment="1">
      <alignment vertical="center" wrapText="1"/>
    </xf>
    <xf numFmtId="0" fontId="36" fillId="11" borderId="0" xfId="0" applyFont="1" applyFill="1" applyBorder="1"/>
    <xf numFmtId="0" fontId="36" fillId="0" borderId="0" xfId="0" applyFont="1" applyAlignment="1">
      <alignment vertical="center"/>
    </xf>
    <xf numFmtId="0" fontId="0" fillId="0" borderId="0" xfId="0" applyAlignment="1">
      <alignment horizontal="left"/>
    </xf>
    <xf numFmtId="15" fontId="0" fillId="0" borderId="22" xfId="0" applyNumberFormat="1" applyFont="1" applyBorder="1" applyAlignment="1">
      <alignment horizontal="left" vertical="center" wrapText="1"/>
    </xf>
    <xf numFmtId="0" fontId="0" fillId="0" borderId="0" xfId="0" applyAlignment="1">
      <alignment horizontal="left"/>
    </xf>
    <xf numFmtId="15" fontId="0" fillId="0" borderId="22" xfId="0" applyNumberFormat="1" applyFont="1" applyFill="1" applyBorder="1" applyAlignment="1">
      <alignment horizontal="left" vertical="center" wrapText="1"/>
    </xf>
    <xf numFmtId="0" fontId="34" fillId="0" borderId="0" xfId="4" applyAlignment="1">
      <alignment horizontal="left"/>
    </xf>
    <xf numFmtId="0" fontId="8" fillId="13" borderId="0" xfId="0" applyNumberFormat="1" applyFont="1" applyFill="1" applyBorder="1" applyAlignment="1">
      <alignment horizontal="left" vertical="center"/>
    </xf>
    <xf numFmtId="0" fontId="6" fillId="0" borderId="0" xfId="0" applyFont="1" applyBorder="1" applyAlignment="1" applyProtection="1">
      <alignment horizontal="center" vertical="center"/>
    </xf>
    <xf numFmtId="0" fontId="8" fillId="1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Border="1" applyAlignment="1">
      <alignment horizontal="center" vertical="center"/>
    </xf>
    <xf numFmtId="164" fontId="11" fillId="10" borderId="0" xfId="1" applyNumberFormat="1" applyFont="1" applyFill="1" applyBorder="1" applyAlignment="1" applyProtection="1">
      <alignment horizontal="center" vertical="center"/>
    </xf>
    <xf numFmtId="0" fontId="6" fillId="0" borderId="0" xfId="0" applyFont="1" applyBorder="1" applyAlignment="1">
      <alignment horizontal="center" vertical="center"/>
    </xf>
    <xf numFmtId="0" fontId="6" fillId="0" borderId="0" xfId="0" applyFont="1" applyBorder="1" applyAlignment="1" applyProtection="1">
      <alignment horizontal="center" vertical="center"/>
    </xf>
    <xf numFmtId="0" fontId="0" fillId="0" borderId="0" xfId="0" applyBorder="1" applyProtection="1"/>
    <xf numFmtId="0" fontId="20" fillId="0" borderId="0" xfId="3" applyFont="1" applyBorder="1" applyProtection="1"/>
    <xf numFmtId="0" fontId="20" fillId="0" borderId="0" xfId="3" applyFont="1" applyBorder="1" applyAlignment="1" applyProtection="1">
      <alignment horizontal="right"/>
    </xf>
    <xf numFmtId="0" fontId="20" fillId="0" borderId="0" xfId="3" applyFont="1" applyBorder="1" applyAlignment="1" applyProtection="1">
      <alignment horizontal="center"/>
    </xf>
    <xf numFmtId="0" fontId="31" fillId="0" borderId="0" xfId="0" applyFont="1" applyBorder="1" applyProtection="1"/>
    <xf numFmtId="0" fontId="21" fillId="14" borderId="0" xfId="3" applyFont="1" applyFill="1" applyBorder="1" applyAlignment="1" applyProtection="1">
      <alignment horizontal="center"/>
    </xf>
    <xf numFmtId="2" fontId="21" fillId="14" borderId="0" xfId="3" applyNumberFormat="1" applyFont="1" applyFill="1" applyBorder="1" applyAlignment="1" applyProtection="1">
      <alignment horizontal="center"/>
    </xf>
    <xf numFmtId="0" fontId="21" fillId="21" borderId="0" xfId="3" applyFont="1" applyFill="1" applyBorder="1" applyAlignment="1" applyProtection="1">
      <alignment horizontal="center"/>
    </xf>
    <xf numFmtId="2" fontId="21" fillId="22" borderId="0" xfId="3" applyNumberFormat="1" applyFont="1" applyFill="1" applyBorder="1" applyAlignment="1" applyProtection="1">
      <alignment horizontal="center"/>
    </xf>
    <xf numFmtId="0" fontId="21" fillId="22" borderId="0" xfId="3" applyFont="1" applyFill="1" applyBorder="1" applyAlignment="1" applyProtection="1">
      <alignment horizontal="center"/>
    </xf>
    <xf numFmtId="0" fontId="22" fillId="0" borderId="0" xfId="3" applyFont="1" applyBorder="1" applyProtection="1"/>
    <xf numFmtId="0" fontId="0" fillId="0" borderId="0" xfId="0" applyBorder="1" applyAlignment="1" applyProtection="1">
      <alignment horizontal="center"/>
    </xf>
    <xf numFmtId="0" fontId="23" fillId="15" borderId="0" xfId="3" applyFont="1" applyFill="1" applyBorder="1" applyAlignment="1" applyProtection="1">
      <alignment horizontal="left"/>
    </xf>
    <xf numFmtId="0" fontId="23" fillId="15" borderId="0" xfId="3" applyFont="1" applyFill="1" applyBorder="1" applyAlignment="1" applyProtection="1">
      <alignment horizontal="center"/>
    </xf>
    <xf numFmtId="0" fontId="23" fillId="15" borderId="0" xfId="3" applyFont="1" applyFill="1" applyBorder="1" applyAlignment="1" applyProtection="1"/>
    <xf numFmtId="0" fontId="23" fillId="30" borderId="0" xfId="3" applyFont="1" applyFill="1" applyBorder="1" applyAlignment="1" applyProtection="1">
      <alignment horizontal="left"/>
    </xf>
    <xf numFmtId="0" fontId="3" fillId="11" borderId="0" xfId="0" applyFont="1" applyFill="1" applyBorder="1" applyAlignment="1" applyProtection="1">
      <alignment horizontal="center"/>
    </xf>
    <xf numFmtId="2" fontId="3" fillId="11" borderId="0" xfId="0" applyNumberFormat="1" applyFont="1" applyFill="1" applyBorder="1" applyAlignment="1" applyProtection="1">
      <alignment horizontal="center"/>
    </xf>
    <xf numFmtId="0" fontId="0" fillId="11" borderId="0" xfId="0" applyFill="1" applyBorder="1" applyAlignment="1" applyProtection="1">
      <alignment horizontal="center"/>
    </xf>
    <xf numFmtId="2" fontId="0" fillId="0" borderId="0" xfId="0" applyNumberFormat="1" applyBorder="1" applyAlignment="1" applyProtection="1">
      <alignment horizontal="center"/>
    </xf>
    <xf numFmtId="2" fontId="23" fillId="15" borderId="0" xfId="3" applyNumberFormat="1" applyFont="1" applyFill="1" applyBorder="1" applyAlignment="1" applyProtection="1">
      <alignment horizontal="center"/>
    </xf>
    <xf numFmtId="0" fontId="21" fillId="25" borderId="0" xfId="3" applyFont="1" applyFill="1" applyBorder="1" applyAlignment="1" applyProtection="1">
      <alignment horizontal="center"/>
    </xf>
    <xf numFmtId="0" fontId="2" fillId="19" borderId="0" xfId="0" applyFont="1" applyFill="1" applyBorder="1" applyAlignment="1" applyProtection="1">
      <alignment horizontal="center"/>
    </xf>
    <xf numFmtId="0" fontId="0" fillId="19" borderId="0" xfId="0" applyFill="1" applyBorder="1" applyAlignment="1" applyProtection="1">
      <alignment horizontal="center"/>
    </xf>
    <xf numFmtId="0" fontId="21" fillId="27" borderId="0" xfId="3" applyFont="1" applyFill="1" applyBorder="1" applyAlignment="1" applyProtection="1">
      <alignment horizontal="center"/>
    </xf>
    <xf numFmtId="2" fontId="2" fillId="12" borderId="0" xfId="0" applyNumberFormat="1" applyFont="1" applyFill="1" applyBorder="1" applyAlignment="1" applyProtection="1">
      <alignment horizontal="center"/>
    </xf>
    <xf numFmtId="0" fontId="0" fillId="12" borderId="0" xfId="0" applyFill="1" applyBorder="1" applyAlignment="1" applyProtection="1">
      <alignment horizontal="center"/>
    </xf>
    <xf numFmtId="0" fontId="23" fillId="29" borderId="0" xfId="3" applyFont="1" applyFill="1" applyBorder="1" applyAlignment="1" applyProtection="1">
      <alignment horizontal="left"/>
    </xf>
    <xf numFmtId="0" fontId="3" fillId="19" borderId="0" xfId="0" applyFont="1" applyFill="1" applyBorder="1" applyAlignment="1" applyProtection="1">
      <alignment horizontal="center"/>
    </xf>
    <xf numFmtId="0" fontId="23" fillId="16" borderId="0" xfId="3" applyFont="1" applyFill="1" applyBorder="1" applyAlignment="1" applyProtection="1">
      <alignment horizontal="left"/>
    </xf>
    <xf numFmtId="0" fontId="23" fillId="16" borderId="0" xfId="3" applyFont="1" applyFill="1" applyBorder="1" applyAlignment="1" applyProtection="1">
      <alignment horizontal="center"/>
    </xf>
    <xf numFmtId="2" fontId="23" fillId="16" borderId="0" xfId="3" applyNumberFormat="1" applyFont="1" applyFill="1" applyBorder="1" applyAlignment="1" applyProtection="1">
      <alignment horizontal="center"/>
    </xf>
    <xf numFmtId="0" fontId="20" fillId="16" borderId="0" xfId="3" applyFont="1" applyFill="1" applyBorder="1" applyAlignment="1" applyProtection="1"/>
    <xf numFmtId="0" fontId="22" fillId="0" borderId="0" xfId="3" applyFont="1" applyBorder="1" applyAlignment="1" applyProtection="1">
      <alignment horizontal="left"/>
    </xf>
    <xf numFmtId="0" fontId="21" fillId="20" borderId="0" xfId="3" applyFont="1" applyFill="1" applyBorder="1" applyAlignment="1" applyProtection="1">
      <alignment horizontal="center"/>
    </xf>
    <xf numFmtId="0" fontId="2" fillId="7" borderId="0" xfId="0" applyFont="1" applyFill="1" applyBorder="1" applyAlignment="1" applyProtection="1">
      <alignment horizontal="center"/>
    </xf>
    <xf numFmtId="0" fontId="0" fillId="7" borderId="0" xfId="0" applyFill="1" applyBorder="1" applyAlignment="1" applyProtection="1">
      <alignment horizontal="center"/>
    </xf>
    <xf numFmtId="2" fontId="20" fillId="17" borderId="0" xfId="3" applyNumberFormat="1" applyFont="1" applyFill="1" applyBorder="1" applyProtection="1"/>
    <xf numFmtId="0" fontId="25" fillId="0" borderId="0" xfId="0" applyFont="1" applyBorder="1" applyAlignment="1" applyProtection="1">
      <alignment horizontal="left"/>
    </xf>
    <xf numFmtId="0" fontId="20" fillId="17" borderId="0" xfId="3" applyFont="1" applyFill="1" applyBorder="1" applyProtection="1"/>
    <xf numFmtId="0" fontId="35" fillId="11" borderId="0" xfId="0" applyFont="1" applyFill="1" applyBorder="1" applyAlignment="1">
      <alignment horizontal="right"/>
    </xf>
    <xf numFmtId="0" fontId="22" fillId="0" borderId="0" xfId="3" applyFont="1" applyBorder="1" applyAlignment="1" applyProtection="1">
      <alignment horizontal="left"/>
    </xf>
    <xf numFmtId="0" fontId="0" fillId="0" borderId="0" xfId="0" applyAlignment="1" applyProtection="1">
      <alignment horizontal="left"/>
    </xf>
    <xf numFmtId="0" fontId="23" fillId="29" borderId="0" xfId="3" applyFont="1" applyFill="1" applyBorder="1" applyAlignment="1" applyProtection="1">
      <alignment horizontal="left"/>
    </xf>
    <xf numFmtId="0" fontId="21" fillId="28" borderId="0" xfId="3" applyFont="1" applyFill="1" applyBorder="1" applyAlignment="1" applyProtection="1">
      <alignment horizontal="left"/>
    </xf>
    <xf numFmtId="0" fontId="20" fillId="17" borderId="0" xfId="3" applyFont="1" applyFill="1" applyBorder="1" applyAlignment="1" applyProtection="1">
      <alignment horizontal="left"/>
    </xf>
    <xf numFmtId="0" fontId="24" fillId="18" borderId="0" xfId="3" applyFont="1" applyFill="1" applyBorder="1" applyAlignment="1" applyProtection="1">
      <alignment horizontal="left"/>
    </xf>
    <xf numFmtId="0" fontId="19" fillId="0" borderId="0" xfId="0" applyFont="1" applyBorder="1" applyAlignment="1" applyProtection="1">
      <alignment horizontal="left"/>
    </xf>
    <xf numFmtId="0" fontId="25" fillId="0" borderId="0" xfId="0" applyFont="1" applyBorder="1" applyAlignment="1" applyProtection="1">
      <alignment horizontal="left"/>
    </xf>
    <xf numFmtId="0" fontId="21" fillId="26" borderId="0" xfId="3" applyFont="1" applyFill="1" applyBorder="1" applyAlignment="1" applyProtection="1">
      <alignment horizontal="left"/>
    </xf>
    <xf numFmtId="0" fontId="21" fillId="23" borderId="0" xfId="3" applyFont="1" applyFill="1" applyBorder="1" applyAlignment="1" applyProtection="1">
      <alignment horizontal="left"/>
    </xf>
    <xf numFmtId="0" fontId="23" fillId="30" borderId="0" xfId="3" applyFont="1" applyFill="1" applyBorder="1" applyAlignment="1" applyProtection="1">
      <alignment horizontal="left"/>
    </xf>
    <xf numFmtId="0" fontId="21" fillId="24" borderId="0" xfId="3" applyFont="1" applyFill="1" applyBorder="1" applyAlignment="1" applyProtection="1">
      <alignment horizontal="left"/>
    </xf>
    <xf numFmtId="0" fontId="23" fillId="16" borderId="0" xfId="3" applyFont="1" applyFill="1" applyBorder="1" applyAlignment="1" applyProtection="1">
      <alignment horizontal="left"/>
    </xf>
    <xf numFmtId="0" fontId="23" fillId="15" borderId="0" xfId="3" applyFont="1" applyFill="1" applyBorder="1" applyAlignment="1" applyProtection="1">
      <alignment horizontal="left"/>
    </xf>
    <xf numFmtId="0" fontId="19" fillId="0" borderId="0" xfId="0" applyFont="1" applyBorder="1" applyAlignment="1" applyProtection="1">
      <alignment horizontal="left"/>
      <protection locked="0"/>
    </xf>
    <xf numFmtId="0" fontId="21" fillId="14" borderId="0" xfId="3" applyFont="1" applyFill="1" applyBorder="1" applyAlignment="1" applyProtection="1">
      <alignment horizontal="left"/>
    </xf>
    <xf numFmtId="0" fontId="6" fillId="0" borderId="0" xfId="0" applyFont="1" applyBorder="1" applyAlignment="1">
      <alignment horizontal="left" vertical="center" wrapText="1"/>
    </xf>
    <xf numFmtId="0" fontId="8" fillId="4" borderId="0" xfId="0" applyFont="1" applyFill="1" applyBorder="1" applyAlignment="1">
      <alignment horizontal="center" vertical="center"/>
    </xf>
    <xf numFmtId="0" fontId="6" fillId="32" borderId="0" xfId="0" applyFont="1" applyFill="1" applyBorder="1" applyAlignment="1" applyProtection="1">
      <alignment horizontal="center"/>
      <protection locked="0"/>
    </xf>
    <xf numFmtId="0" fontId="6" fillId="0" borderId="0" xfId="0" applyFont="1" applyBorder="1" applyAlignment="1">
      <alignment horizontal="center" vertical="center"/>
    </xf>
    <xf numFmtId="0" fontId="9" fillId="0" borderId="0" xfId="0" applyFont="1" applyFill="1" applyBorder="1" applyAlignment="1">
      <alignment horizontal="center" vertical="center"/>
    </xf>
    <xf numFmtId="2" fontId="8" fillId="0" borderId="0" xfId="0" applyNumberFormat="1" applyFont="1" applyFill="1" applyBorder="1" applyAlignment="1">
      <alignment horizontal="left" vertical="center"/>
    </xf>
    <xf numFmtId="0" fontId="8" fillId="13" borderId="0" xfId="0" applyNumberFormat="1" applyFont="1" applyFill="1" applyBorder="1" applyAlignment="1">
      <alignment horizontal="left" vertical="center"/>
    </xf>
    <xf numFmtId="0" fontId="5" fillId="6" borderId="0" xfId="0" applyFont="1" applyFill="1" applyBorder="1" applyAlignment="1">
      <alignment horizontal="center" vertical="center"/>
    </xf>
    <xf numFmtId="0" fontId="8" fillId="13" borderId="0" xfId="0" applyFont="1" applyFill="1" applyBorder="1" applyAlignment="1">
      <alignment horizontal="left" vertical="center" wrapText="1"/>
    </xf>
    <xf numFmtId="0" fontId="5" fillId="13" borderId="0" xfId="0" applyFont="1" applyFill="1" applyBorder="1" applyAlignment="1">
      <alignment horizontal="left" vertical="center" wrapText="1"/>
    </xf>
    <xf numFmtId="0" fontId="6" fillId="13" borderId="0" xfId="0" applyFont="1" applyFill="1" applyBorder="1" applyAlignment="1">
      <alignment horizontal="center"/>
    </xf>
    <xf numFmtId="2" fontId="6" fillId="0" borderId="0" xfId="0" applyNumberFormat="1" applyFont="1" applyBorder="1" applyAlignment="1">
      <alignment horizontal="center" vertical="center"/>
    </xf>
    <xf numFmtId="0" fontId="8" fillId="6" borderId="0" xfId="0" applyFont="1" applyFill="1" applyBorder="1" applyAlignment="1">
      <alignment horizontal="center" vertical="center"/>
    </xf>
    <xf numFmtId="0" fontId="5" fillId="12" borderId="0" xfId="0" applyFont="1" applyFill="1" applyBorder="1" applyAlignment="1">
      <alignment horizontal="left" vertical="center" wrapText="1"/>
    </xf>
    <xf numFmtId="0" fontId="5" fillId="12" borderId="0" xfId="0" applyFont="1" applyFill="1" applyBorder="1" applyAlignment="1">
      <alignment horizontal="left" vertical="center"/>
    </xf>
    <xf numFmtId="0" fontId="6" fillId="12" borderId="0" xfId="0" applyFont="1" applyFill="1" applyBorder="1" applyAlignment="1">
      <alignment horizontal="center"/>
    </xf>
    <xf numFmtId="2" fontId="13" fillId="0" borderId="0" xfId="0" applyNumberFormat="1" applyFont="1" applyFill="1" applyBorder="1" applyAlignment="1">
      <alignment horizontal="center" vertical="center"/>
    </xf>
    <xf numFmtId="0" fontId="5" fillId="11" borderId="0" xfId="0" applyFont="1" applyFill="1" applyBorder="1" applyAlignment="1">
      <alignment horizontal="left" vertical="center" wrapText="1"/>
    </xf>
    <xf numFmtId="0" fontId="5" fillId="11" borderId="0" xfId="0" applyFont="1" applyFill="1" applyBorder="1" applyAlignment="1">
      <alignment horizontal="left" vertical="center"/>
    </xf>
    <xf numFmtId="0" fontId="6" fillId="32" borderId="0" xfId="0" applyFont="1" applyFill="1" applyBorder="1" applyAlignment="1" applyProtection="1">
      <alignment horizontal="center" vertical="center"/>
      <protection locked="0"/>
    </xf>
    <xf numFmtId="0" fontId="6" fillId="11" borderId="0" xfId="0" applyFont="1" applyFill="1" applyBorder="1" applyAlignment="1">
      <alignment horizontal="center"/>
    </xf>
    <xf numFmtId="0" fontId="9" fillId="4" borderId="0" xfId="0" applyFont="1" applyFill="1" applyBorder="1" applyAlignment="1">
      <alignment horizontal="center" vertical="center"/>
    </xf>
    <xf numFmtId="0" fontId="6" fillId="0" borderId="0" xfId="0" applyFont="1" applyBorder="1" applyAlignment="1" applyProtection="1">
      <alignment horizontal="center" vertical="center"/>
    </xf>
    <xf numFmtId="2" fontId="8" fillId="0" borderId="0" xfId="0" applyNumberFormat="1"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8" fillId="6" borderId="0" xfId="0" applyFont="1" applyFill="1" applyBorder="1" applyAlignment="1" applyProtection="1">
      <alignment horizontal="center" vertical="center"/>
    </xf>
    <xf numFmtId="0" fontId="5" fillId="5" borderId="0" xfId="0" applyFont="1" applyFill="1" applyBorder="1" applyAlignment="1" applyProtection="1">
      <alignment horizontal="left" vertical="center" wrapText="1"/>
    </xf>
    <xf numFmtId="0" fontId="5" fillId="5" borderId="0" xfId="0" applyFont="1" applyFill="1" applyBorder="1" applyAlignment="1" applyProtection="1">
      <alignment horizontal="left" vertical="center"/>
    </xf>
    <xf numFmtId="0" fontId="8" fillId="4" borderId="0" xfId="0" applyFont="1" applyFill="1" applyBorder="1" applyAlignment="1" applyProtection="1">
      <alignment horizontal="center" vertical="center"/>
    </xf>
    <xf numFmtId="0" fontId="11" fillId="2" borderId="18" xfId="1" applyFont="1" applyBorder="1" applyAlignment="1" applyProtection="1">
      <alignment horizontal="center" vertical="center"/>
      <protection locked="0"/>
    </xf>
    <xf numFmtId="0" fontId="6" fillId="0" borderId="0" xfId="0" applyFont="1" applyBorder="1" applyAlignment="1" applyProtection="1">
      <alignment horizontal="center" vertical="center" wrapText="1"/>
    </xf>
    <xf numFmtId="0" fontId="6" fillId="5" borderId="0" xfId="0" applyFont="1" applyFill="1" applyBorder="1" applyAlignment="1" applyProtection="1">
      <alignment horizontal="center"/>
    </xf>
    <xf numFmtId="0" fontId="11" fillId="2" borderId="15" xfId="1" applyFont="1" applyBorder="1" applyAlignment="1" applyProtection="1">
      <alignment horizontal="center" vertical="center"/>
      <protection locked="0"/>
    </xf>
    <xf numFmtId="0" fontId="6" fillId="7" borderId="0" xfId="0" applyFont="1" applyFill="1" applyBorder="1" applyAlignment="1" applyProtection="1">
      <alignment horizontal="center"/>
    </xf>
    <xf numFmtId="0" fontId="8" fillId="10" borderId="0" xfId="0" applyFont="1" applyFill="1" applyBorder="1" applyAlignment="1" applyProtection="1">
      <alignment horizontal="center" vertical="center"/>
    </xf>
    <xf numFmtId="2" fontId="8" fillId="9" borderId="0" xfId="0" applyNumberFormat="1" applyFont="1" applyFill="1" applyBorder="1" applyAlignment="1">
      <alignment horizontal="center" vertical="center"/>
    </xf>
  </cellXfs>
  <cellStyles count="5">
    <cellStyle name="Check Cell" xfId="2" builtinId="23"/>
    <cellStyle name="Hyperlink" xfId="4" builtinId="8"/>
    <cellStyle name="Input" xfId="1" builtinId="20"/>
    <cellStyle name="Normal" xfId="0" builtinId="0"/>
    <cellStyle name="Normal 2" xfId="3" xr:uid="{00000000-0005-0000-0000-000004000000}"/>
  </cellStyles>
  <dxfs count="64">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theme="0"/>
      </font>
    </dxf>
    <dxf>
      <fill>
        <patternFill>
          <bgColor theme="1" tint="0.34998626667073579"/>
        </patternFill>
      </fill>
    </dxf>
    <dxf>
      <font>
        <color theme="0" tint="-0.499984740745262"/>
      </font>
    </dxf>
    <dxf>
      <fill>
        <patternFill>
          <bgColor theme="0" tint="-0.499984740745262"/>
        </patternFill>
      </fill>
    </dxf>
    <dxf>
      <fill>
        <patternFill>
          <bgColor theme="1" tint="0.34998626667073579"/>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9" tint="0.39994506668294322"/>
        </patternFill>
      </fill>
    </dxf>
    <dxf>
      <font>
        <color theme="0"/>
      </font>
    </dxf>
    <dxf>
      <fill>
        <patternFill>
          <bgColor theme="1" tint="0.34998626667073579"/>
        </patternFill>
      </fill>
    </dxf>
    <dxf>
      <font>
        <color theme="0"/>
      </font>
    </dxf>
    <dxf>
      <font>
        <color theme="0"/>
      </font>
    </dxf>
    <dxf>
      <font>
        <color theme="0"/>
      </font>
    </dxf>
    <dxf>
      <fill>
        <patternFill>
          <bgColor theme="1" tint="0.34998626667073579"/>
        </patternFill>
      </fill>
    </dxf>
    <dxf>
      <fill>
        <patternFill>
          <bgColor theme="1" tint="0.34998626667073579"/>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E$8" lockText="1" noThreeD="1"/>
</file>

<file path=xl/ctrlProps/ctrlProp2.xml><?xml version="1.0" encoding="utf-8"?>
<formControlPr xmlns="http://schemas.microsoft.com/office/spreadsheetml/2009/9/main" objectType="CheckBox" fmlaLink="$E$5" lockText="1" noThreeD="1"/>
</file>

<file path=xl/ctrlProps/ctrlProp3.xml><?xml version="1.0" encoding="utf-8"?>
<formControlPr xmlns="http://schemas.microsoft.com/office/spreadsheetml/2009/9/main" objectType="CheckBox" fmlaLink="$E$5" lockText="1" noThreeD="1"/>
</file>

<file path=xl/ctrlProps/ctrlProp4.xml><?xml version="1.0" encoding="utf-8"?>
<formControlPr xmlns="http://schemas.microsoft.com/office/spreadsheetml/2009/9/main" objectType="CheckBox" fmlaLink="$E$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2968153</xdr:colOff>
      <xdr:row>0</xdr:row>
      <xdr:rowOff>57150</xdr:rowOff>
    </xdr:from>
    <xdr:to>
      <xdr:col>3</xdr:col>
      <xdr:colOff>1439282</xdr:colOff>
      <xdr:row>10</xdr:row>
      <xdr:rowOff>138004</xdr:rowOff>
    </xdr:to>
    <xdr:pic>
      <xdr:nvPicPr>
        <xdr:cNvPr id="2" name="Picture 1" descr="gm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6073303" y="57150"/>
          <a:ext cx="1985854" cy="1985854"/>
        </a:xfrm>
        <a:prstGeom prst="rect">
          <a:avLst/>
        </a:prstGeom>
        <a:noFill/>
        <a:ln w="9525">
          <a:noFill/>
          <a:miter lim="800000"/>
          <a:headEnd/>
          <a:tailEnd/>
        </a:ln>
      </xdr:spPr>
    </xdr:pic>
    <xdr:clientData/>
  </xdr:twoCellAnchor>
  <xdr:twoCellAnchor>
    <xdr:from>
      <xdr:col>0</xdr:col>
      <xdr:colOff>304800</xdr:colOff>
      <xdr:row>6</xdr:row>
      <xdr:rowOff>180975</xdr:rowOff>
    </xdr:from>
    <xdr:to>
      <xdr:col>3</xdr:col>
      <xdr:colOff>2038350</xdr:colOff>
      <xdr:row>15</xdr:row>
      <xdr:rowOff>112777</xdr:rowOff>
    </xdr:to>
    <xdr:sp macro="" textlink="">
      <xdr:nvSpPr>
        <xdr:cNvPr id="3" name="Title 1">
          <a:extLst>
            <a:ext uri="{FF2B5EF4-FFF2-40B4-BE49-F238E27FC236}">
              <a16:creationId xmlns:a16="http://schemas.microsoft.com/office/drawing/2014/main" id="{00000000-0008-0000-0000-000003000000}"/>
            </a:ext>
          </a:extLst>
        </xdr:cNvPr>
        <xdr:cNvSpPr>
          <a:spLocks noGrp="1"/>
        </xdr:cNvSpPr>
      </xdr:nvSpPr>
      <xdr:spPr>
        <a:xfrm>
          <a:off x="304800" y="1323975"/>
          <a:ext cx="8353425" cy="1646302"/>
        </a:xfrm>
        <a:prstGeom prst="rect">
          <a:avLst/>
        </a:prstGeom>
      </xdr:spPr>
      <xdr:txBody>
        <a:bodyPr vert="horz" wrap="square" lIns="91440" tIns="45720" rIns="91440" bIns="45720" rtlCol="0" anchor="b">
          <a:noAutofit/>
        </a:bodyPr>
        <a:lstStyle>
          <a:lvl1pPr algn="r" defTabSz="457200" rtl="0" eaLnBrk="1" latinLnBrk="0" hangingPunct="1">
            <a:spcBef>
              <a:spcPct val="0"/>
            </a:spcBef>
            <a:buNone/>
            <a:defRPr sz="5400" kern="1200">
              <a:solidFill>
                <a:schemeClr val="accent1"/>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r>
            <a:rPr lang="en-GB" sz="3200" kern="1200">
              <a:solidFill>
                <a:schemeClr val="tx1"/>
              </a:solidFill>
              <a:latin typeface="+mj-lt"/>
              <a:ea typeface="+mj-ea"/>
              <a:cs typeface="+mj-cs"/>
            </a:rPr>
            <a:t>Green Mark for Residential Buildings</a:t>
          </a:r>
          <a:endParaRPr lang="en-SG" sz="3200" kern="1200">
            <a:solidFill>
              <a:schemeClr val="tx1"/>
            </a:solidFill>
            <a:latin typeface="+mj-lt"/>
            <a:ea typeface="+mj-ea"/>
            <a:cs typeface="+mj-cs"/>
          </a:endParaRPr>
        </a:p>
      </xdr:txBody>
    </xdr:sp>
    <xdr:clientData/>
  </xdr:twoCellAnchor>
  <xdr:twoCellAnchor>
    <xdr:from>
      <xdr:col>1</xdr:col>
      <xdr:colOff>413898</xdr:colOff>
      <xdr:row>15</xdr:row>
      <xdr:rowOff>141349</xdr:rowOff>
    </xdr:from>
    <xdr:to>
      <xdr:col>3</xdr:col>
      <xdr:colOff>2046734</xdr:colOff>
      <xdr:row>22</xdr:row>
      <xdr:rowOff>95248</xdr:rowOff>
    </xdr:to>
    <xdr:sp macro="" textlink="">
      <xdr:nvSpPr>
        <xdr:cNvPr id="4" name="Subtitle 2">
          <a:extLst>
            <a:ext uri="{FF2B5EF4-FFF2-40B4-BE49-F238E27FC236}">
              <a16:creationId xmlns:a16="http://schemas.microsoft.com/office/drawing/2014/main" id="{00000000-0008-0000-0000-000004000000}"/>
            </a:ext>
          </a:extLst>
        </xdr:cNvPr>
        <xdr:cNvSpPr>
          <a:spLocks noGrp="1"/>
        </xdr:cNvSpPr>
      </xdr:nvSpPr>
      <xdr:spPr>
        <a:xfrm>
          <a:off x="899673" y="2998849"/>
          <a:ext cx="7766936" cy="1287399"/>
        </a:xfrm>
        <a:prstGeom prst="rect">
          <a:avLst/>
        </a:prstGeom>
      </xdr:spPr>
      <xdr:txBody>
        <a:bodyPr vert="horz" wrap="square" lIns="91440" tIns="45720" rIns="91440" bIns="45720" rtlCol="0" anchor="t">
          <a:normAutofit/>
        </a:bodyPr>
        <a:lstStyle>
          <a:lvl1pPr marL="0" indent="0" algn="r" defTabSz="457200" rtl="0" eaLnBrk="1" latinLnBrk="0" hangingPunct="1">
            <a:spcBef>
              <a:spcPts val="1000"/>
            </a:spcBef>
            <a:spcAft>
              <a:spcPts val="0"/>
            </a:spcAft>
            <a:buClr>
              <a:schemeClr val="accent1"/>
            </a:buClr>
            <a:buSzPct val="80000"/>
            <a:buFont typeface="Wingdings 3" charset="2"/>
            <a:buNone/>
            <a:defRPr sz="1800" kern="1200">
              <a:solidFill>
                <a:schemeClr val="tx1">
                  <a:lumMod val="50000"/>
                  <a:lumOff val="50000"/>
                </a:schemeClr>
              </a:solidFill>
              <a:latin typeface="+mn-lt"/>
              <a:ea typeface="+mn-ea"/>
              <a:cs typeface="+mn-cs"/>
            </a:defRPr>
          </a:lvl1pPr>
          <a:lvl2pPr marL="457200" indent="0" algn="ctr" defTabSz="457200" rtl="0" eaLnBrk="1" latinLnBrk="0" hangingPunct="1">
            <a:spcBef>
              <a:spcPts val="1000"/>
            </a:spcBef>
            <a:spcAft>
              <a:spcPts val="0"/>
            </a:spcAft>
            <a:buClr>
              <a:schemeClr val="accent1"/>
            </a:buClr>
            <a:buSzPct val="80000"/>
            <a:buFont typeface="Wingdings 3" charset="2"/>
            <a:buNone/>
            <a:defRPr sz="1600" kern="1200">
              <a:solidFill>
                <a:schemeClr val="tx1">
                  <a:tint val="75000"/>
                </a:schemeClr>
              </a:solidFill>
              <a:latin typeface="+mn-lt"/>
              <a:ea typeface="+mn-ea"/>
              <a:cs typeface="+mn-cs"/>
            </a:defRPr>
          </a:lvl2pPr>
          <a:lvl3pPr marL="914400" indent="0" algn="ctr" defTabSz="457200" rtl="0" eaLnBrk="1" latinLnBrk="0" hangingPunct="1">
            <a:spcBef>
              <a:spcPts val="1000"/>
            </a:spcBef>
            <a:spcAft>
              <a:spcPts val="0"/>
            </a:spcAft>
            <a:buClr>
              <a:schemeClr val="accent1"/>
            </a:buClr>
            <a:buSzPct val="80000"/>
            <a:buFont typeface="Wingdings 3" charset="2"/>
            <a:buNone/>
            <a:defRPr sz="1400" kern="1200">
              <a:solidFill>
                <a:schemeClr val="tx1">
                  <a:tint val="75000"/>
                </a:schemeClr>
              </a:solidFill>
              <a:latin typeface="+mn-lt"/>
              <a:ea typeface="+mn-ea"/>
              <a:cs typeface="+mn-cs"/>
            </a:defRPr>
          </a:lvl3pPr>
          <a:lvl4pPr marL="13716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4pPr>
          <a:lvl5pPr marL="18288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5pPr>
          <a:lvl6pPr marL="22860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6pPr>
          <a:lvl7pPr marL="27432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7pPr>
          <a:lvl8pPr marL="32004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8pPr>
          <a:lvl9pPr marL="3657600" indent="0" algn="ctr" defTabSz="457200" rtl="0" eaLnBrk="1" latinLnBrk="0" hangingPunct="1">
            <a:spcBef>
              <a:spcPts val="1000"/>
            </a:spcBef>
            <a:spcAft>
              <a:spcPts val="0"/>
            </a:spcAft>
            <a:buClr>
              <a:schemeClr val="accent1"/>
            </a:buClr>
            <a:buSzPct val="80000"/>
            <a:buFont typeface="Wingdings 3" charset="2"/>
            <a:buNone/>
            <a:defRPr sz="1200" kern="1200">
              <a:solidFill>
                <a:schemeClr val="tx1">
                  <a:tint val="75000"/>
                </a:schemeClr>
              </a:solidFill>
              <a:latin typeface="+mn-lt"/>
              <a:ea typeface="+mn-ea"/>
              <a:cs typeface="+mn-cs"/>
            </a:defRPr>
          </a:lvl9pPr>
        </a:lstStyle>
        <a:p>
          <a:r>
            <a:rPr lang="en-GB" sz="3200" kern="1200">
              <a:solidFill>
                <a:schemeClr val="tx1"/>
              </a:solidFill>
              <a:latin typeface="+mj-lt"/>
              <a:ea typeface="+mn-ea"/>
              <a:cs typeface="+mn-cs"/>
            </a:rPr>
            <a:t>GM RB: 2016</a:t>
          </a:r>
          <a:endParaRPr lang="en-GB" sz="3200">
            <a:solidFill>
              <a:schemeClr val="tx1"/>
            </a:solidFill>
            <a:latin typeface="+mj-lt"/>
          </a:endParaRPr>
        </a:p>
        <a:p>
          <a:r>
            <a:rPr lang="en-GB" sz="2800" b="1">
              <a:solidFill>
                <a:schemeClr val="tx1"/>
              </a:solidFill>
              <a:latin typeface="Calibri Light" panose="020F0302020204030204" pitchFamily="34" charset="0"/>
            </a:rPr>
            <a:t>Green Mark Score Calculator</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190500</xdr:colOff>
          <xdr:row>6</xdr:row>
          <xdr:rowOff>190500</xdr:rowOff>
        </xdr:from>
        <xdr:to>
          <xdr:col>6</xdr:col>
          <xdr:colOff>495300</xdr:colOff>
          <xdr:row>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cs typeface="Segoe UI"/>
                </a:rPr>
                <a:t>Check Box 4</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323850</xdr:colOff>
          <xdr:row>3</xdr:row>
          <xdr:rowOff>152400</xdr:rowOff>
        </xdr:from>
        <xdr:to>
          <xdr:col>6</xdr:col>
          <xdr:colOff>628650</xdr:colOff>
          <xdr:row>5</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cs typeface="Segoe UI"/>
                </a:rPr>
                <a:t>Check Box 3</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238125</xdr:colOff>
          <xdr:row>3</xdr:row>
          <xdr:rowOff>142875</xdr:rowOff>
        </xdr:from>
        <xdr:to>
          <xdr:col>6</xdr:col>
          <xdr:colOff>542925</xdr:colOff>
          <xdr:row>5</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cs typeface="Segoe UI"/>
                </a:rPr>
                <a:t>Check Box 1</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219075</xdr:colOff>
          <xdr:row>3</xdr:row>
          <xdr:rowOff>142875</xdr:rowOff>
        </xdr:from>
        <xdr:to>
          <xdr:col>6</xdr:col>
          <xdr:colOff>523875</xdr:colOff>
          <xdr:row>5</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cs typeface="Segoe UI"/>
                </a:rPr>
                <a:t>Check Box 1</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ca_hweifern/Documents/GM%202015%20(NRB)/Energy%20Calculator/Version%20R3.03/BCA_Energy_Performance_Points_Calculat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bca.gov.sg/GreenMark/others/GM_RB_2016_Score_C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Tracking"/>
      <sheetName val="Guidance Notes"/>
      <sheetName val="Notes for kWadj"/>
      <sheetName val="Building Data schedule"/>
      <sheetName val=" ACMV 2.01a"/>
      <sheetName val="Lighting Power Budget 2.01b"/>
      <sheetName val="Car Park 2.01c"/>
      <sheetName val="Receptacle Load 2.01d"/>
      <sheetName val="Building Energy 2.02a"/>
      <sheetName val="Renewable Energy 2.03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s>
    <sheetDataSet>
      <sheetData sheetId="0" refreshError="1"/>
      <sheetData sheetId="1" refreshError="1"/>
      <sheetData sheetId="2" refreshError="1"/>
      <sheetData sheetId="3">
        <row r="36">
          <cell r="G36" t="str">
            <v>Office</v>
          </cell>
          <cell r="H36">
            <v>72</v>
          </cell>
        </row>
        <row r="37">
          <cell r="G37" t="str">
            <v>Retail</v>
          </cell>
          <cell r="H37">
            <v>130</v>
          </cell>
        </row>
        <row r="38">
          <cell r="G38" t="str">
            <v>Hotel</v>
          </cell>
          <cell r="H38">
            <v>57</v>
          </cell>
        </row>
        <row r="39">
          <cell r="G39" t="str">
            <v>Industrial</v>
          </cell>
          <cell r="H39"/>
        </row>
        <row r="40">
          <cell r="G40" t="str">
            <v>Education</v>
          </cell>
          <cell r="H40"/>
        </row>
        <row r="41">
          <cell r="G41" t="str">
            <v>Healthcare</v>
          </cell>
          <cell r="H41" t="str">
            <v xml:space="preserve"> </v>
          </cell>
        </row>
        <row r="42">
          <cell r="G42" t="str">
            <v>Sports</v>
          </cell>
          <cell r="H42"/>
        </row>
        <row r="43">
          <cell r="G43" t="str">
            <v>Other 1</v>
          </cell>
          <cell r="H43"/>
        </row>
        <row r="44">
          <cell r="G44" t="str">
            <v>Other 2</v>
          </cell>
          <cell r="H44"/>
        </row>
        <row r="45">
          <cell r="G45" t="str">
            <v>Other 3</v>
          </cell>
          <cell r="H45"/>
        </row>
        <row r="46">
          <cell r="G46" t="str">
            <v>[Empty]</v>
          </cell>
          <cell r="H46">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Tracking"/>
      <sheetName val="Score Summary"/>
      <sheetName val="1.Climatic Responsive Design"/>
      <sheetName val="2.Building Energy Performance"/>
      <sheetName val="3.Resource Stewardship"/>
      <sheetName val="4.Smart &amp; Healthy Bldg"/>
      <sheetName val="5.Advanced Green Efforts"/>
      <sheetName val="Raw Data"/>
    </sheetNames>
    <sheetDataSet>
      <sheetData sheetId="0">
        <row r="24">
          <cell r="C24" t="str">
            <v>Score Card_GM2016_R1</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ca.gov.sg/GreenMark/others/%5bBCA_Energy_Performance_Points_Calculator.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24:G41"/>
  <sheetViews>
    <sheetView view="pageBreakPreview" topLeftCell="A24" zoomScaleNormal="100" zoomScaleSheetLayoutView="100" workbookViewId="0">
      <selection activeCell="C31" sqref="C31"/>
    </sheetView>
  </sheetViews>
  <sheetFormatPr defaultRowHeight="15" x14ac:dyDescent="0.25"/>
  <cols>
    <col min="1" max="1" width="7.28515625" customWidth="1"/>
    <col min="2" max="2" width="39.28515625" customWidth="1"/>
    <col min="3" max="3" width="52.7109375" customWidth="1"/>
    <col min="4" max="4" width="31.140625" customWidth="1"/>
    <col min="5" max="5" width="47.85546875" customWidth="1"/>
  </cols>
  <sheetData>
    <row r="24" spans="1:5" ht="15.75" x14ac:dyDescent="0.25">
      <c r="A24" s="228" t="s">
        <v>381</v>
      </c>
      <c r="B24" s="228"/>
      <c r="C24" s="171" t="s">
        <v>494</v>
      </c>
      <c r="D24" s="172"/>
    </row>
    <row r="25" spans="1:5" x14ac:dyDescent="0.25">
      <c r="A25" s="176" t="str">
        <f>IFERROR(IF(C24='[2]Revision Tracking'!$C$24,"You are using the latest version of the score card","The latest version of the score card is available for download, pls download online"),"Please connect to internet")</f>
        <v>The latest version of the score card is available for download, pls download online</v>
      </c>
      <c r="B25" s="176"/>
      <c r="C25" s="176"/>
      <c r="D25" s="178" t="str">
        <f>IF(A25="The latest version of the calculator is available for download, pls download online","Download here","")</f>
        <v/>
      </c>
    </row>
    <row r="26" spans="1:5" x14ac:dyDescent="0.25">
      <c r="A26" s="174"/>
      <c r="B26" s="174"/>
      <c r="D26" s="159"/>
    </row>
    <row r="27" spans="1:5" ht="16.5" thickBot="1" x14ac:dyDescent="0.3">
      <c r="A27" s="173" t="s">
        <v>374</v>
      </c>
      <c r="B27" s="160"/>
    </row>
    <row r="28" spans="1:5" ht="15.75" thickBot="1" x14ac:dyDescent="0.3">
      <c r="A28" s="161" t="s">
        <v>375</v>
      </c>
      <c r="B28" s="162" t="s">
        <v>376</v>
      </c>
      <c r="C28" s="162" t="s">
        <v>377</v>
      </c>
      <c r="D28" s="162" t="s">
        <v>378</v>
      </c>
      <c r="E28" s="163"/>
    </row>
    <row r="29" spans="1:5" ht="18.75" customHeight="1" thickBot="1" x14ac:dyDescent="0.3">
      <c r="A29" s="164">
        <v>1</v>
      </c>
      <c r="B29" s="165" t="s">
        <v>382</v>
      </c>
      <c r="C29" s="165" t="s">
        <v>380</v>
      </c>
      <c r="D29" s="175">
        <v>43192</v>
      </c>
    </row>
    <row r="30" spans="1:5" ht="19.5" customHeight="1" thickBot="1" x14ac:dyDescent="0.3">
      <c r="A30" s="164">
        <v>2</v>
      </c>
      <c r="B30" s="167" t="s">
        <v>386</v>
      </c>
      <c r="C30" s="165" t="s">
        <v>387</v>
      </c>
      <c r="D30" s="177">
        <v>43467</v>
      </c>
    </row>
    <row r="31" spans="1:5" ht="20.25" customHeight="1" thickBot="1" x14ac:dyDescent="0.3">
      <c r="A31" s="164">
        <v>3</v>
      </c>
      <c r="B31" s="167" t="s">
        <v>494</v>
      </c>
      <c r="C31" s="165" t="s">
        <v>495</v>
      </c>
      <c r="D31" s="177">
        <v>43692</v>
      </c>
    </row>
    <row r="32" spans="1:5" ht="15.75" thickBot="1" x14ac:dyDescent="0.3">
      <c r="A32" s="164">
        <v>4</v>
      </c>
      <c r="B32" s="167"/>
      <c r="C32" s="165"/>
      <c r="D32" s="169"/>
    </row>
    <row r="33" spans="1:7" ht="15.75" thickBot="1" x14ac:dyDescent="0.3">
      <c r="A33" s="164">
        <v>5</v>
      </c>
      <c r="B33" s="167"/>
      <c r="C33" s="165"/>
      <c r="D33" s="169"/>
    </row>
    <row r="34" spans="1:7" ht="15.75" thickBot="1" x14ac:dyDescent="0.3">
      <c r="A34" s="164">
        <v>6</v>
      </c>
      <c r="B34" s="167"/>
      <c r="C34" s="165"/>
      <c r="D34" s="166"/>
    </row>
    <row r="35" spans="1:7" ht="15.75" thickBot="1" x14ac:dyDescent="0.3">
      <c r="A35" s="164">
        <v>7</v>
      </c>
      <c r="B35" s="167"/>
      <c r="C35" s="165"/>
      <c r="D35" s="166"/>
    </row>
    <row r="36" spans="1:7" ht="15.75" thickBot="1" x14ac:dyDescent="0.3">
      <c r="A36" s="170">
        <v>8</v>
      </c>
      <c r="B36" s="167"/>
      <c r="C36" s="167"/>
      <c r="D36" s="168"/>
    </row>
    <row r="37" spans="1:7" ht="15.75" thickBot="1" x14ac:dyDescent="0.3">
      <c r="A37" s="164">
        <v>9</v>
      </c>
      <c r="B37" s="167"/>
      <c r="C37" s="167"/>
      <c r="D37" s="168"/>
    </row>
    <row r="38" spans="1:7" ht="15.75" thickBot="1" x14ac:dyDescent="0.3">
      <c r="A38" s="164">
        <v>10</v>
      </c>
      <c r="B38" s="165"/>
      <c r="C38" s="165"/>
      <c r="D38" s="166"/>
    </row>
    <row r="41" spans="1:7" x14ac:dyDescent="0.25">
      <c r="G41" t="s">
        <v>379</v>
      </c>
    </row>
  </sheetData>
  <sheetProtection algorithmName="SHA-512" hashValue="HAJgQKzpjM/QDyH0mqImrlU+8HeVvNGDqLmXA076RqNsaKV2Z3sjt0r+8tgswDmqVQuEEi4Sjeg5CmTwYB7jQw==" saltValue="OoZOqDP2ddQUKujbxqPxJQ==" spinCount="100000" sheet="1" objects="1" scenarios="1"/>
  <dataConsolidate/>
  <mergeCells count="1">
    <mergeCell ref="A24:B24"/>
  </mergeCells>
  <hyperlinks>
    <hyperlink ref="D25" r:id="rId1" display="https://www.bca.gov.sg/GreenMark/others/%5bBCA_Energy_Performance_Points_Calculator.xlsx" xr:uid="{00000000-0004-0000-0000-000000000000}"/>
  </hyperlinks>
  <pageMargins left="0.7" right="0.7" top="0.75" bottom="0.75" header="0.3" footer="0.3"/>
  <pageSetup paperSize="9" scale="6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46"/>
  <sheetViews>
    <sheetView zoomScale="115" zoomScaleNormal="115" zoomScaleSheetLayoutView="100" workbookViewId="0">
      <selection activeCell="G8" sqref="G8"/>
    </sheetView>
  </sheetViews>
  <sheetFormatPr defaultRowHeight="15" x14ac:dyDescent="0.25"/>
  <cols>
    <col min="1" max="1" width="5.7109375" style="188" customWidth="1"/>
    <col min="2" max="4" width="14.140625" style="188" customWidth="1"/>
    <col min="5" max="5" width="17.140625" style="188" customWidth="1"/>
    <col min="6" max="6" width="14.28515625" style="188" customWidth="1"/>
    <col min="7" max="7" width="14.5703125" style="188" customWidth="1"/>
    <col min="8" max="8" width="5.7109375" style="188" customWidth="1"/>
    <col min="9" max="11" width="14.140625" style="188" customWidth="1"/>
    <col min="12" max="12" width="17" style="188" customWidth="1"/>
    <col min="13" max="13" width="13.85546875" style="188" customWidth="1"/>
    <col min="14" max="14" width="14.140625" style="188" customWidth="1"/>
    <col min="15" max="16384" width="9.140625" style="188"/>
  </cols>
  <sheetData>
    <row r="1" spans="1:15" ht="15.75" x14ac:dyDescent="0.25">
      <c r="A1" s="235" t="s">
        <v>307</v>
      </c>
      <c r="B1" s="235"/>
      <c r="C1" s="235"/>
      <c r="D1" s="235"/>
      <c r="E1" s="235"/>
      <c r="F1" s="235"/>
      <c r="G1" s="235"/>
      <c r="H1" s="235" t="s">
        <v>307</v>
      </c>
      <c r="I1" s="235"/>
      <c r="J1" s="235"/>
      <c r="K1" s="235"/>
      <c r="L1" s="235"/>
      <c r="M1" s="235"/>
      <c r="N1" s="235"/>
    </row>
    <row r="2" spans="1:15" ht="15.75" x14ac:dyDescent="0.25">
      <c r="A2" s="243" t="s">
        <v>373</v>
      </c>
      <c r="B2" s="243"/>
      <c r="C2" s="243"/>
      <c r="D2" s="243"/>
      <c r="E2" s="243"/>
      <c r="F2" s="243"/>
      <c r="G2" s="243"/>
      <c r="H2" s="235" t="str">
        <f>IF(A2&lt;&gt;O3,A2,"")</f>
        <v/>
      </c>
      <c r="I2" s="235"/>
      <c r="J2" s="235"/>
      <c r="K2" s="235"/>
      <c r="L2" s="235"/>
      <c r="M2" s="235"/>
      <c r="N2" s="235"/>
    </row>
    <row r="3" spans="1:15" x14ac:dyDescent="0.25">
      <c r="E3" s="189" t="s">
        <v>308</v>
      </c>
      <c r="F3" s="190" t="s">
        <v>309</v>
      </c>
      <c r="G3" s="191" t="s">
        <v>310</v>
      </c>
      <c r="L3" s="189" t="s">
        <v>308</v>
      </c>
      <c r="M3" s="189" t="s">
        <v>309</v>
      </c>
      <c r="N3" s="191" t="s">
        <v>310</v>
      </c>
      <c r="O3" s="192" t="s">
        <v>373</v>
      </c>
    </row>
    <row r="4" spans="1:15" x14ac:dyDescent="0.25">
      <c r="A4" s="244" t="s">
        <v>311</v>
      </c>
      <c r="B4" s="244"/>
      <c r="C4" s="244"/>
      <c r="D4" s="244"/>
      <c r="E4" s="193">
        <v>35</v>
      </c>
      <c r="F4" s="194">
        <f>SUM(F9,F15,F18)</f>
        <v>1.5</v>
      </c>
      <c r="G4" s="193"/>
      <c r="H4" s="238" t="s">
        <v>340</v>
      </c>
      <c r="I4" s="238"/>
      <c r="J4" s="238"/>
      <c r="K4" s="238"/>
      <c r="L4" s="195">
        <v>35</v>
      </c>
      <c r="M4" s="196">
        <f>SUM(M9,M13,M17)</f>
        <v>0</v>
      </c>
      <c r="N4" s="197"/>
    </row>
    <row r="5" spans="1:15" x14ac:dyDescent="0.25">
      <c r="A5" s="198" t="s">
        <v>388</v>
      </c>
      <c r="B5" s="229" t="s">
        <v>35</v>
      </c>
      <c r="C5" s="229"/>
      <c r="D5" s="229"/>
      <c r="E5" s="199"/>
      <c r="F5" s="199"/>
      <c r="G5" s="199"/>
      <c r="H5" s="198" t="s">
        <v>413</v>
      </c>
      <c r="I5" s="229" t="s">
        <v>341</v>
      </c>
      <c r="J5" s="229"/>
      <c r="K5" s="229"/>
      <c r="L5" s="199"/>
      <c r="M5" s="199"/>
      <c r="N5" s="199"/>
    </row>
    <row r="6" spans="1:15" x14ac:dyDescent="0.25">
      <c r="A6" s="198" t="s">
        <v>389</v>
      </c>
      <c r="B6" s="229" t="s">
        <v>326</v>
      </c>
      <c r="C6" s="229"/>
      <c r="D6" s="229"/>
      <c r="E6" s="199"/>
      <c r="F6" s="199"/>
      <c r="G6" s="199"/>
      <c r="H6" s="198" t="s">
        <v>124</v>
      </c>
      <c r="I6" s="229" t="s">
        <v>96</v>
      </c>
      <c r="J6" s="229"/>
      <c r="K6" s="229"/>
      <c r="L6" s="199"/>
      <c r="M6" s="199"/>
      <c r="N6" s="199"/>
    </row>
    <row r="7" spans="1:15" x14ac:dyDescent="0.25">
      <c r="A7" s="198" t="s">
        <v>390</v>
      </c>
      <c r="B7" s="229" t="s">
        <v>2</v>
      </c>
      <c r="C7" s="229"/>
      <c r="D7" s="229"/>
      <c r="E7" s="199"/>
      <c r="F7" s="199"/>
      <c r="G7" s="199"/>
      <c r="H7" s="198" t="s">
        <v>314</v>
      </c>
      <c r="I7" s="229" t="s">
        <v>97</v>
      </c>
      <c r="J7" s="229"/>
      <c r="K7" s="229"/>
      <c r="L7" s="199"/>
      <c r="M7" s="199"/>
      <c r="N7" s="199"/>
    </row>
    <row r="8" spans="1:15" x14ac:dyDescent="0.25">
      <c r="A8" s="198" t="s">
        <v>391</v>
      </c>
      <c r="B8" s="236" t="s">
        <v>347</v>
      </c>
      <c r="C8" s="236"/>
      <c r="D8" s="236"/>
      <c r="E8" s="199"/>
      <c r="F8" s="199"/>
      <c r="G8" s="199"/>
      <c r="H8" s="198" t="s">
        <v>317</v>
      </c>
      <c r="I8" s="229" t="s">
        <v>98</v>
      </c>
      <c r="J8" s="229"/>
      <c r="K8" s="229"/>
      <c r="L8" s="199"/>
      <c r="M8" s="199"/>
      <c r="N8" s="199"/>
    </row>
    <row r="9" spans="1:15" x14ac:dyDescent="0.25">
      <c r="A9" s="200">
        <v>1.1000000000000001</v>
      </c>
      <c r="B9" s="242" t="s">
        <v>313</v>
      </c>
      <c r="C9" s="242"/>
      <c r="D9" s="242"/>
      <c r="E9" s="201">
        <v>8</v>
      </c>
      <c r="F9" s="201">
        <f>SUM(F10:F14)</f>
        <v>1.5</v>
      </c>
      <c r="G9" s="202"/>
      <c r="H9" s="203">
        <v>3.1</v>
      </c>
      <c r="I9" s="239" t="s">
        <v>342</v>
      </c>
      <c r="J9" s="239"/>
      <c r="K9" s="239"/>
      <c r="L9" s="204">
        <v>13</v>
      </c>
      <c r="M9" s="205">
        <f>SUM(M10:M12)</f>
        <v>0</v>
      </c>
      <c r="N9" s="206"/>
    </row>
    <row r="10" spans="1:15" x14ac:dyDescent="0.25">
      <c r="A10" s="198" t="s">
        <v>392</v>
      </c>
      <c r="B10" s="229" t="s">
        <v>316</v>
      </c>
      <c r="C10" s="229"/>
      <c r="D10" s="229"/>
      <c r="E10" s="199">
        <v>1</v>
      </c>
      <c r="F10" s="199">
        <f>'1.Climatic Responsive Design'!G13</f>
        <v>0</v>
      </c>
      <c r="G10" s="199"/>
      <c r="H10" s="198" t="s">
        <v>414</v>
      </c>
      <c r="I10" s="229" t="s">
        <v>343</v>
      </c>
      <c r="J10" s="229"/>
      <c r="K10" s="229"/>
      <c r="L10" s="199">
        <v>9</v>
      </c>
      <c r="M10" s="207">
        <f>'3.Resource Stewardship'!G23</f>
        <v>0</v>
      </c>
      <c r="N10" s="199"/>
    </row>
    <row r="11" spans="1:15" ht="15" customHeight="1" x14ac:dyDescent="0.25">
      <c r="A11" s="198" t="s">
        <v>393</v>
      </c>
      <c r="B11" s="229" t="s">
        <v>318</v>
      </c>
      <c r="C11" s="229"/>
      <c r="D11" s="229"/>
      <c r="E11" s="199">
        <v>2</v>
      </c>
      <c r="F11" s="199">
        <f>'1.Climatic Responsive Design'!G15</f>
        <v>0</v>
      </c>
      <c r="G11" s="199"/>
      <c r="H11" s="198" t="s">
        <v>415</v>
      </c>
      <c r="I11" s="229" t="s">
        <v>105</v>
      </c>
      <c r="J11" s="229"/>
      <c r="K11" s="229"/>
      <c r="L11" s="199">
        <v>1</v>
      </c>
      <c r="M11" s="199">
        <f>'3.Resource Stewardship'!G28</f>
        <v>0</v>
      </c>
      <c r="N11" s="199"/>
    </row>
    <row r="12" spans="1:15" ht="15" customHeight="1" x14ac:dyDescent="0.25">
      <c r="A12" s="198" t="s">
        <v>394</v>
      </c>
      <c r="B12" s="229" t="s">
        <v>320</v>
      </c>
      <c r="C12" s="229"/>
      <c r="D12" s="229"/>
      <c r="E12" s="199">
        <v>2</v>
      </c>
      <c r="F12" s="199">
        <f>'1.Climatic Responsive Design'!G24</f>
        <v>1.5</v>
      </c>
      <c r="G12" s="199"/>
      <c r="H12" s="198" t="s">
        <v>416</v>
      </c>
      <c r="I12" s="229" t="s">
        <v>108</v>
      </c>
      <c r="J12" s="229"/>
      <c r="K12" s="229"/>
      <c r="L12" s="199">
        <v>3</v>
      </c>
      <c r="M12" s="199">
        <f>'3.Resource Stewardship'!G34</f>
        <v>0</v>
      </c>
      <c r="N12" s="199"/>
    </row>
    <row r="13" spans="1:15" x14ac:dyDescent="0.25">
      <c r="A13" s="198" t="s">
        <v>395</v>
      </c>
      <c r="B13" s="229" t="s">
        <v>321</v>
      </c>
      <c r="C13" s="229"/>
      <c r="D13" s="229"/>
      <c r="E13" s="199">
        <v>2</v>
      </c>
      <c r="F13" s="199">
        <f>'1.Climatic Responsive Design'!G28</f>
        <v>0</v>
      </c>
      <c r="G13" s="199"/>
      <c r="H13" s="203">
        <v>3.2</v>
      </c>
      <c r="I13" s="239" t="s">
        <v>344</v>
      </c>
      <c r="J13" s="239"/>
      <c r="K13" s="239"/>
      <c r="L13" s="204">
        <v>18</v>
      </c>
      <c r="M13" s="204">
        <f>SUM(M14:M16)</f>
        <v>0</v>
      </c>
      <c r="N13" s="206"/>
    </row>
    <row r="14" spans="1:15" x14ac:dyDescent="0.25">
      <c r="A14" s="198" t="s">
        <v>396</v>
      </c>
      <c r="B14" s="229" t="s">
        <v>19</v>
      </c>
      <c r="C14" s="229"/>
      <c r="D14" s="229"/>
      <c r="E14" s="199">
        <v>1</v>
      </c>
      <c r="F14" s="199">
        <f>'1.Climatic Responsive Design'!G31</f>
        <v>0</v>
      </c>
      <c r="G14" s="199"/>
      <c r="H14" s="198" t="s">
        <v>417</v>
      </c>
      <c r="I14" s="229" t="s">
        <v>96</v>
      </c>
      <c r="J14" s="229"/>
      <c r="K14" s="229"/>
      <c r="L14" s="199">
        <v>8</v>
      </c>
      <c r="M14" s="199">
        <f>'3.Resource Stewardship'!G55</f>
        <v>0</v>
      </c>
      <c r="N14" s="199"/>
    </row>
    <row r="15" spans="1:15" x14ac:dyDescent="0.25">
      <c r="A15" s="200">
        <v>1.2</v>
      </c>
      <c r="B15" s="242" t="s">
        <v>323</v>
      </c>
      <c r="C15" s="242"/>
      <c r="D15" s="242"/>
      <c r="E15" s="201">
        <v>10</v>
      </c>
      <c r="F15" s="201">
        <f>SUM(F16:F17)</f>
        <v>0</v>
      </c>
      <c r="G15" s="202"/>
      <c r="H15" s="198" t="s">
        <v>418</v>
      </c>
      <c r="I15" s="229" t="s">
        <v>97</v>
      </c>
      <c r="J15" s="229"/>
      <c r="K15" s="229"/>
      <c r="L15" s="199">
        <v>2</v>
      </c>
      <c r="M15" s="199">
        <f>'3.Resource Stewardship'!G60</f>
        <v>0</v>
      </c>
      <c r="N15" s="199"/>
    </row>
    <row r="16" spans="1:15" x14ac:dyDescent="0.25">
      <c r="A16" s="198" t="s">
        <v>397</v>
      </c>
      <c r="B16" s="229" t="s">
        <v>22</v>
      </c>
      <c r="C16" s="229"/>
      <c r="D16" s="229"/>
      <c r="E16" s="199">
        <v>5</v>
      </c>
      <c r="F16" s="199">
        <f>'1.Climatic Responsive Design'!G48</f>
        <v>0</v>
      </c>
      <c r="G16" s="199"/>
      <c r="H16" s="198" t="s">
        <v>419</v>
      </c>
      <c r="I16" s="229" t="s">
        <v>98</v>
      </c>
      <c r="J16" s="229"/>
      <c r="K16" s="229"/>
      <c r="L16" s="199">
        <v>8</v>
      </c>
      <c r="M16" s="199">
        <f>'3.Resource Stewardship'!G100</f>
        <v>0</v>
      </c>
      <c r="N16" s="199"/>
    </row>
    <row r="17" spans="1:14" x14ac:dyDescent="0.25">
      <c r="A17" s="198" t="s">
        <v>398</v>
      </c>
      <c r="B17" s="229" t="s">
        <v>35</v>
      </c>
      <c r="C17" s="229"/>
      <c r="D17" s="229"/>
      <c r="E17" s="199">
        <v>5</v>
      </c>
      <c r="F17" s="199">
        <f>'1.Climatic Responsive Design'!G63</f>
        <v>0</v>
      </c>
      <c r="G17" s="199"/>
      <c r="H17" s="203">
        <v>3.3</v>
      </c>
      <c r="I17" s="239" t="s">
        <v>345</v>
      </c>
      <c r="J17" s="239"/>
      <c r="K17" s="239"/>
      <c r="L17" s="204">
        <v>4</v>
      </c>
      <c r="M17" s="204">
        <f>SUM(M18:M19)</f>
        <v>0</v>
      </c>
      <c r="N17" s="206"/>
    </row>
    <row r="18" spans="1:14" x14ac:dyDescent="0.25">
      <c r="A18" s="200">
        <v>1.3</v>
      </c>
      <c r="B18" s="242" t="s">
        <v>324</v>
      </c>
      <c r="C18" s="242"/>
      <c r="D18" s="242"/>
      <c r="E18" s="201">
        <v>17</v>
      </c>
      <c r="F18" s="208">
        <f>SUM(F19:F21)</f>
        <v>0</v>
      </c>
      <c r="G18" s="202"/>
      <c r="H18" s="198" t="s">
        <v>420</v>
      </c>
      <c r="I18" s="229" t="s">
        <v>346</v>
      </c>
      <c r="J18" s="229"/>
      <c r="K18" s="229"/>
      <c r="L18" s="199">
        <v>1</v>
      </c>
      <c r="M18" s="199">
        <f>'3.Resource Stewardship'!G104</f>
        <v>0</v>
      </c>
      <c r="N18" s="199"/>
    </row>
    <row r="19" spans="1:14" x14ac:dyDescent="0.25">
      <c r="A19" s="198" t="s">
        <v>399</v>
      </c>
      <c r="B19" s="229" t="s">
        <v>326</v>
      </c>
      <c r="C19" s="229"/>
      <c r="D19" s="229"/>
      <c r="E19" s="199">
        <v>5</v>
      </c>
      <c r="F19" s="207">
        <f>'1.Climatic Responsive Design'!G69</f>
        <v>0</v>
      </c>
      <c r="G19" s="199"/>
      <c r="H19" s="198" t="s">
        <v>421</v>
      </c>
      <c r="I19" s="229" t="s">
        <v>122</v>
      </c>
      <c r="J19" s="229"/>
      <c r="K19" s="229"/>
      <c r="L19" s="199">
        <v>3</v>
      </c>
      <c r="M19" s="199">
        <f>'3.Resource Stewardship'!G111</f>
        <v>0</v>
      </c>
      <c r="N19" s="199"/>
    </row>
    <row r="20" spans="1:14" x14ac:dyDescent="0.25">
      <c r="A20" s="198" t="s">
        <v>400</v>
      </c>
      <c r="B20" s="229" t="s">
        <v>49</v>
      </c>
      <c r="C20" s="229"/>
      <c r="D20" s="229"/>
      <c r="E20" s="199">
        <v>2</v>
      </c>
      <c r="F20" s="199">
        <f>'1.Climatic Responsive Design'!G73</f>
        <v>0</v>
      </c>
      <c r="G20" s="199"/>
      <c r="H20" s="240" t="s">
        <v>312</v>
      </c>
      <c r="I20" s="240"/>
      <c r="J20" s="240"/>
      <c r="K20" s="240"/>
      <c r="L20" s="209">
        <v>35</v>
      </c>
      <c r="M20" s="210">
        <f>SUM(M22,M25,M29)</f>
        <v>0</v>
      </c>
      <c r="N20" s="211"/>
    </row>
    <row r="21" spans="1:14" x14ac:dyDescent="0.25">
      <c r="A21" s="198" t="s">
        <v>401</v>
      </c>
      <c r="B21" s="229" t="s">
        <v>2</v>
      </c>
      <c r="C21" s="229"/>
      <c r="D21" s="229"/>
      <c r="E21" s="199">
        <v>10</v>
      </c>
      <c r="F21" s="207">
        <f>'1.Climatic Responsive Design'!G90</f>
        <v>0</v>
      </c>
      <c r="G21" s="199"/>
      <c r="H21" s="198" t="s">
        <v>319</v>
      </c>
      <c r="I21" s="229" t="s">
        <v>315</v>
      </c>
      <c r="J21" s="229"/>
      <c r="K21" s="229"/>
      <c r="L21" s="199"/>
      <c r="M21" s="199"/>
      <c r="N21" s="199"/>
    </row>
    <row r="22" spans="1:14" x14ac:dyDescent="0.25">
      <c r="A22" s="237" t="s">
        <v>327</v>
      </c>
      <c r="B22" s="237"/>
      <c r="C22" s="237"/>
      <c r="D22" s="237"/>
      <c r="E22" s="212">
        <v>25</v>
      </c>
      <c r="F22" s="213">
        <f>SUM(F27,F31,F33)</f>
        <v>5.5</v>
      </c>
      <c r="G22" s="214"/>
      <c r="H22" s="215">
        <v>4.0999999999999996</v>
      </c>
      <c r="I22" s="231" t="s">
        <v>322</v>
      </c>
      <c r="J22" s="231"/>
      <c r="K22" s="231"/>
      <c r="L22" s="216">
        <v>8</v>
      </c>
      <c r="M22" s="216">
        <f>SUM(M23:M24)</f>
        <v>0</v>
      </c>
      <c r="N22" s="211"/>
    </row>
    <row r="23" spans="1:14" x14ac:dyDescent="0.25">
      <c r="A23" s="198" t="s">
        <v>402</v>
      </c>
      <c r="B23" s="229" t="s">
        <v>65</v>
      </c>
      <c r="C23" s="229"/>
      <c r="D23" s="229"/>
      <c r="E23" s="199"/>
      <c r="F23" s="199"/>
      <c r="G23" s="199"/>
      <c r="H23" s="198" t="s">
        <v>422</v>
      </c>
      <c r="I23" s="229" t="s">
        <v>126</v>
      </c>
      <c r="J23" s="229"/>
      <c r="K23" s="229"/>
      <c r="L23" s="199">
        <v>2</v>
      </c>
      <c r="M23" s="199">
        <f>'4.Smart &amp; Healthy Bldg'!G12</f>
        <v>0</v>
      </c>
      <c r="N23" s="199"/>
    </row>
    <row r="24" spans="1:14" x14ac:dyDescent="0.25">
      <c r="A24" s="198" t="s">
        <v>403</v>
      </c>
      <c r="B24" s="229" t="s">
        <v>329</v>
      </c>
      <c r="C24" s="229"/>
      <c r="D24" s="229"/>
      <c r="E24" s="199"/>
      <c r="F24" s="199"/>
      <c r="G24" s="199"/>
      <c r="H24" s="198" t="s">
        <v>423</v>
      </c>
      <c r="I24" s="229" t="s">
        <v>351</v>
      </c>
      <c r="J24" s="229"/>
      <c r="K24" s="229"/>
      <c r="L24" s="199">
        <v>6</v>
      </c>
      <c r="M24" s="199">
        <f>'4.Smart &amp; Healthy Bldg'!G22</f>
        <v>0</v>
      </c>
      <c r="N24" s="199"/>
    </row>
    <row r="25" spans="1:14" x14ac:dyDescent="0.25">
      <c r="A25" s="198" t="s">
        <v>404</v>
      </c>
      <c r="B25" s="229" t="s">
        <v>68</v>
      </c>
      <c r="C25" s="229"/>
      <c r="D25" s="229"/>
      <c r="E25" s="199"/>
      <c r="F25" s="199"/>
      <c r="G25" s="199"/>
      <c r="H25" s="215">
        <v>4.2</v>
      </c>
      <c r="I25" s="231" t="s">
        <v>325</v>
      </c>
      <c r="J25" s="231"/>
      <c r="K25" s="231"/>
      <c r="L25" s="216">
        <v>9</v>
      </c>
      <c r="M25" s="216">
        <f>SUM(M26:M28)</f>
        <v>0</v>
      </c>
      <c r="N25" s="211"/>
    </row>
    <row r="26" spans="1:14" x14ac:dyDescent="0.25">
      <c r="A26" s="198" t="s">
        <v>405</v>
      </c>
      <c r="B26" s="229" t="s">
        <v>334</v>
      </c>
      <c r="C26" s="229"/>
      <c r="D26" s="229"/>
      <c r="E26" s="199"/>
      <c r="F26" s="199"/>
      <c r="G26" s="199"/>
      <c r="H26" s="198" t="s">
        <v>424</v>
      </c>
      <c r="I26" s="229" t="s">
        <v>136</v>
      </c>
      <c r="J26" s="229"/>
      <c r="K26" s="229"/>
      <c r="L26" s="199">
        <v>5</v>
      </c>
      <c r="M26" s="199">
        <f>'4.Smart &amp; Healthy Bldg'!G49</f>
        <v>0</v>
      </c>
      <c r="N26" s="199"/>
    </row>
    <row r="27" spans="1:14" x14ac:dyDescent="0.25">
      <c r="A27" s="217">
        <v>2.1</v>
      </c>
      <c r="B27" s="241" t="s">
        <v>330</v>
      </c>
      <c r="C27" s="241"/>
      <c r="D27" s="241"/>
      <c r="E27" s="218">
        <v>12</v>
      </c>
      <c r="F27" s="219">
        <f>SUM(F28:F30)</f>
        <v>5.5</v>
      </c>
      <c r="G27" s="220"/>
      <c r="H27" s="198" t="s">
        <v>425</v>
      </c>
      <c r="I27" s="229" t="s">
        <v>149</v>
      </c>
      <c r="J27" s="230"/>
      <c r="K27" s="230"/>
      <c r="L27" s="199">
        <v>2</v>
      </c>
      <c r="M27" s="199">
        <f>'4.Smart &amp; Healthy Bldg'!G56</f>
        <v>0</v>
      </c>
      <c r="N27" s="199"/>
    </row>
    <row r="28" spans="1:14" x14ac:dyDescent="0.25">
      <c r="A28" s="198" t="s">
        <v>406</v>
      </c>
      <c r="B28" s="229" t="s">
        <v>348</v>
      </c>
      <c r="C28" s="229"/>
      <c r="D28" s="229"/>
      <c r="E28" s="199">
        <v>6</v>
      </c>
      <c r="F28" s="207">
        <f>'2.Building Energy Performance'!G19</f>
        <v>5.5</v>
      </c>
      <c r="G28" s="199"/>
      <c r="H28" s="198" t="s">
        <v>426</v>
      </c>
      <c r="I28" s="229" t="s">
        <v>152</v>
      </c>
      <c r="J28" s="230"/>
      <c r="K28" s="230"/>
      <c r="L28" s="199">
        <v>2</v>
      </c>
      <c r="M28" s="199">
        <f>'4.Smart &amp; Healthy Bldg'!G92</f>
        <v>0</v>
      </c>
      <c r="N28" s="199"/>
    </row>
    <row r="29" spans="1:14" x14ac:dyDescent="0.25">
      <c r="A29" s="198" t="s">
        <v>407</v>
      </c>
      <c r="B29" s="229" t="s">
        <v>68</v>
      </c>
      <c r="C29" s="229"/>
      <c r="D29" s="229"/>
      <c r="E29" s="199">
        <v>4</v>
      </c>
      <c r="F29" s="207">
        <f>'2.Building Energy Performance'!G22</f>
        <v>0</v>
      </c>
      <c r="G29" s="199"/>
      <c r="H29" s="215">
        <v>4.3</v>
      </c>
      <c r="I29" s="231" t="s">
        <v>328</v>
      </c>
      <c r="J29" s="231"/>
      <c r="K29" s="231"/>
      <c r="L29" s="216">
        <v>8</v>
      </c>
      <c r="M29" s="216">
        <f>SUM(M30:M33)</f>
        <v>0</v>
      </c>
      <c r="N29" s="211"/>
    </row>
    <row r="30" spans="1:14" x14ac:dyDescent="0.25">
      <c r="A30" s="198" t="s">
        <v>408</v>
      </c>
      <c r="B30" s="229" t="s">
        <v>349</v>
      </c>
      <c r="C30" s="229"/>
      <c r="D30" s="229"/>
      <c r="E30" s="199">
        <v>2</v>
      </c>
      <c r="F30" s="199">
        <f>'2.Building Energy Performance'!G32</f>
        <v>0</v>
      </c>
      <c r="G30" s="199"/>
      <c r="H30" s="198" t="s">
        <v>427</v>
      </c>
      <c r="I30" s="221" t="s">
        <v>184</v>
      </c>
      <c r="J30" s="221"/>
      <c r="K30" s="221"/>
      <c r="L30" s="199">
        <v>2</v>
      </c>
      <c r="M30" s="199">
        <f>'4.Smart &amp; Healthy Bldg'!G99</f>
        <v>0</v>
      </c>
      <c r="N30" s="199"/>
    </row>
    <row r="31" spans="1:14" x14ac:dyDescent="0.25">
      <c r="A31" s="217">
        <v>2.2000000000000002</v>
      </c>
      <c r="B31" s="241" t="s">
        <v>332</v>
      </c>
      <c r="C31" s="241"/>
      <c r="D31" s="241"/>
      <c r="E31" s="218">
        <v>5</v>
      </c>
      <c r="F31" s="218">
        <f>F32</f>
        <v>0</v>
      </c>
      <c r="G31" s="220"/>
      <c r="H31" s="198" t="s">
        <v>428</v>
      </c>
      <c r="I31" s="221" t="s">
        <v>188</v>
      </c>
      <c r="J31" s="221"/>
      <c r="K31" s="221"/>
      <c r="L31" s="199">
        <v>2</v>
      </c>
      <c r="M31" s="199">
        <f>'4.Smart &amp; Healthy Bldg'!G109</f>
        <v>0</v>
      </c>
      <c r="N31" s="199"/>
    </row>
    <row r="32" spans="1:14" x14ac:dyDescent="0.25">
      <c r="A32" s="198" t="s">
        <v>409</v>
      </c>
      <c r="B32" s="229" t="s">
        <v>350</v>
      </c>
      <c r="C32" s="229"/>
      <c r="D32" s="229"/>
      <c r="E32" s="199">
        <v>5</v>
      </c>
      <c r="F32" s="199">
        <f>'2.Building Energy Performance'!G39</f>
        <v>0</v>
      </c>
      <c r="G32" s="199"/>
      <c r="H32" s="198" t="s">
        <v>429</v>
      </c>
      <c r="I32" s="221" t="s">
        <v>192</v>
      </c>
      <c r="J32" s="221"/>
      <c r="K32" s="221"/>
      <c r="L32" s="199">
        <v>2</v>
      </c>
      <c r="M32" s="199">
        <f>'4.Smart &amp; Healthy Bldg'!G116</f>
        <v>0</v>
      </c>
      <c r="N32" s="199"/>
    </row>
    <row r="33" spans="1:14" x14ac:dyDescent="0.25">
      <c r="A33" s="217">
        <v>2.2999999999999998</v>
      </c>
      <c r="B33" s="241" t="s">
        <v>333</v>
      </c>
      <c r="C33" s="241"/>
      <c r="D33" s="241"/>
      <c r="E33" s="218">
        <v>8</v>
      </c>
      <c r="F33" s="218">
        <f>SUM(F34:F36)</f>
        <v>0</v>
      </c>
      <c r="G33" s="220"/>
      <c r="H33" s="198" t="s">
        <v>430</v>
      </c>
      <c r="I33" s="229" t="s">
        <v>195</v>
      </c>
      <c r="J33" s="229"/>
      <c r="K33" s="229"/>
      <c r="L33" s="199">
        <v>2</v>
      </c>
      <c r="M33" s="199">
        <f>'4.Smart &amp; Healthy Bldg'!G120</f>
        <v>0</v>
      </c>
      <c r="N33" s="199"/>
    </row>
    <row r="34" spans="1:14" x14ac:dyDescent="0.25">
      <c r="A34" s="198" t="s">
        <v>410</v>
      </c>
      <c r="B34" s="229" t="s">
        <v>79</v>
      </c>
      <c r="C34" s="229"/>
      <c r="D34" s="229"/>
      <c r="E34" s="199">
        <v>0.5</v>
      </c>
      <c r="F34" s="199">
        <f>'2.Building Energy Performance'!G43</f>
        <v>0</v>
      </c>
      <c r="G34" s="199"/>
      <c r="H34" s="232" t="s">
        <v>331</v>
      </c>
      <c r="I34" s="232"/>
      <c r="J34" s="232"/>
      <c r="K34" s="232"/>
      <c r="L34" s="222">
        <v>20</v>
      </c>
      <c r="M34" s="223">
        <f>SUM(M35:M38)</f>
        <v>0</v>
      </c>
      <c r="N34" s="224"/>
    </row>
    <row r="35" spans="1:14" x14ac:dyDescent="0.25">
      <c r="A35" s="198" t="s">
        <v>411</v>
      </c>
      <c r="B35" s="229" t="s">
        <v>80</v>
      </c>
      <c r="C35" s="229"/>
      <c r="D35" s="229"/>
      <c r="E35" s="199">
        <v>1.5</v>
      </c>
      <c r="F35" s="199">
        <f>'2.Building Energy Performance'!G48</f>
        <v>0</v>
      </c>
      <c r="G35" s="199"/>
      <c r="H35" s="221">
        <v>5.0999999999999996</v>
      </c>
      <c r="I35" s="221" t="s">
        <v>199</v>
      </c>
      <c r="J35" s="221"/>
      <c r="K35" s="221"/>
      <c r="L35" s="199">
        <v>15</v>
      </c>
      <c r="M35" s="199">
        <f>'5.Advanced Green Efforts'!G5</f>
        <v>0</v>
      </c>
      <c r="N35" s="199"/>
    </row>
    <row r="36" spans="1:14" x14ac:dyDescent="0.25">
      <c r="A36" s="198" t="s">
        <v>412</v>
      </c>
      <c r="B36" s="229" t="s">
        <v>338</v>
      </c>
      <c r="C36" s="229"/>
      <c r="D36" s="229"/>
      <c r="E36" s="199">
        <v>6</v>
      </c>
      <c r="F36" s="199">
        <f>'2.Building Energy Performance'!G51</f>
        <v>0</v>
      </c>
      <c r="G36" s="199"/>
      <c r="H36" s="221">
        <v>5.2</v>
      </c>
      <c r="I36" s="221" t="s">
        <v>236</v>
      </c>
      <c r="J36" s="221"/>
      <c r="K36" s="221"/>
      <c r="L36" s="199">
        <v>2</v>
      </c>
      <c r="M36" s="199">
        <f>'5.Advanced Green Efforts'!G87</f>
        <v>0</v>
      </c>
      <c r="N36" s="199"/>
    </row>
    <row r="37" spans="1:14" x14ac:dyDescent="0.25">
      <c r="H37" s="221">
        <v>5.3</v>
      </c>
      <c r="I37" s="221" t="s">
        <v>239</v>
      </c>
      <c r="J37" s="221"/>
      <c r="K37" s="221"/>
      <c r="L37" s="199">
        <v>1</v>
      </c>
      <c r="M37" s="199">
        <f>'5.Advanced Green Efforts'!G91</f>
        <v>0</v>
      </c>
      <c r="N37" s="199"/>
    </row>
    <row r="38" spans="1:14" x14ac:dyDescent="0.25">
      <c r="H38" s="221">
        <v>5.4</v>
      </c>
      <c r="I38" s="229" t="s">
        <v>241</v>
      </c>
      <c r="J38" s="229"/>
      <c r="K38" s="229"/>
      <c r="L38" s="199">
        <v>2</v>
      </c>
      <c r="M38" s="199">
        <f>'5.Advanced Green Efforts'!G94</f>
        <v>0</v>
      </c>
      <c r="N38" s="199"/>
    </row>
    <row r="39" spans="1:14" x14ac:dyDescent="0.25">
      <c r="N39" s="199"/>
    </row>
    <row r="40" spans="1:14" x14ac:dyDescent="0.25">
      <c r="H40" s="221"/>
      <c r="I40" s="229"/>
      <c r="J40" s="229"/>
      <c r="K40" s="229"/>
      <c r="L40" s="199"/>
      <c r="M40" s="199"/>
      <c r="N40" s="199"/>
    </row>
    <row r="41" spans="1:14" x14ac:dyDescent="0.25">
      <c r="L41" s="199"/>
      <c r="M41" s="199"/>
      <c r="N41" s="199"/>
    </row>
    <row r="42" spans="1:14" x14ac:dyDescent="0.25">
      <c r="H42" s="189"/>
      <c r="I42" s="189"/>
      <c r="J42" s="189"/>
      <c r="K42" s="189"/>
      <c r="L42" s="199"/>
      <c r="M42" s="199"/>
      <c r="N42" s="199"/>
    </row>
    <row r="43" spans="1:14" x14ac:dyDescent="0.25">
      <c r="H43" s="189"/>
      <c r="I43" s="189"/>
      <c r="J43" s="189"/>
      <c r="K43" s="189"/>
      <c r="L43" s="199"/>
      <c r="M43" s="199"/>
      <c r="N43" s="199"/>
    </row>
    <row r="44" spans="1:14" x14ac:dyDescent="0.25">
      <c r="H44" s="233" t="s">
        <v>335</v>
      </c>
      <c r="I44" s="233"/>
      <c r="J44" s="233"/>
      <c r="K44" s="225">
        <f>SUM(F4,F22,M4,M20,M34)</f>
        <v>7</v>
      </c>
      <c r="L44" s="199"/>
      <c r="M44" s="199"/>
      <c r="N44" s="199"/>
    </row>
    <row r="45" spans="1:14" x14ac:dyDescent="0.25">
      <c r="H45" s="234" t="s">
        <v>336</v>
      </c>
      <c r="I45" s="234"/>
      <c r="J45" s="234"/>
      <c r="K45" s="104" t="s">
        <v>368</v>
      </c>
      <c r="L45" s="226" t="s">
        <v>371</v>
      </c>
      <c r="M45" s="199"/>
      <c r="N45" s="199"/>
    </row>
    <row r="46" spans="1:14" x14ac:dyDescent="0.25">
      <c r="H46" s="233" t="s">
        <v>339</v>
      </c>
      <c r="I46" s="233"/>
      <c r="J46" s="233"/>
      <c r="K46" s="227" t="str">
        <f>IF(AND(K44&gt;50,K44&lt;60),"Gold",IF(AND(K44&gt;=60,K44&lt;70),"GoldPLUS",IF(AND(K44&gt;=70),"Platinum","Non-Compliant")))</f>
        <v>Non-Compliant</v>
      </c>
      <c r="L46" s="226" t="s">
        <v>370</v>
      </c>
      <c r="M46" s="199"/>
    </row>
  </sheetData>
  <sheetProtection algorithmName="SHA-512" hashValue="VP8b+GmyvmtcVUxYgsfvJvGugS/ff1Li54EBGcYwiVD8yXcz9l5PXAk/Qt7z6QEGvkY3pHLQFCn1n24V9LjLbA==" saltValue="7rKPRowAtRqpFf/tRdAZ+w==" spinCount="100000" sheet="1"/>
  <mergeCells count="70">
    <mergeCell ref="A2:G2"/>
    <mergeCell ref="H2:N2"/>
    <mergeCell ref="B15:D15"/>
    <mergeCell ref="A4:D4"/>
    <mergeCell ref="B5:D5"/>
    <mergeCell ref="B6:D6"/>
    <mergeCell ref="B7:D7"/>
    <mergeCell ref="B9:D9"/>
    <mergeCell ref="B10:D10"/>
    <mergeCell ref="B11:D11"/>
    <mergeCell ref="B12:D12"/>
    <mergeCell ref="B13:D13"/>
    <mergeCell ref="B14:D14"/>
    <mergeCell ref="I7:K7"/>
    <mergeCell ref="I8:K8"/>
    <mergeCell ref="I9:K9"/>
    <mergeCell ref="B16:D16"/>
    <mergeCell ref="B17:D17"/>
    <mergeCell ref="B18:D18"/>
    <mergeCell ref="B19:D19"/>
    <mergeCell ref="B20:D20"/>
    <mergeCell ref="B23:D23"/>
    <mergeCell ref="B24:D24"/>
    <mergeCell ref="B25:D25"/>
    <mergeCell ref="B26:D26"/>
    <mergeCell ref="B27:D27"/>
    <mergeCell ref="B34:D34"/>
    <mergeCell ref="B35:D35"/>
    <mergeCell ref="B36:D36"/>
    <mergeCell ref="B28:D28"/>
    <mergeCell ref="B29:D29"/>
    <mergeCell ref="B30:D30"/>
    <mergeCell ref="B31:D31"/>
    <mergeCell ref="B32:D32"/>
    <mergeCell ref="B33:D33"/>
    <mergeCell ref="I24:K24"/>
    <mergeCell ref="I25:K25"/>
    <mergeCell ref="I18:K18"/>
    <mergeCell ref="I19:K19"/>
    <mergeCell ref="I21:K21"/>
    <mergeCell ref="I23:K23"/>
    <mergeCell ref="H20:K20"/>
    <mergeCell ref="I22:K22"/>
    <mergeCell ref="A1:G1"/>
    <mergeCell ref="H1:N1"/>
    <mergeCell ref="B8:D8"/>
    <mergeCell ref="B21:D21"/>
    <mergeCell ref="A22:D22"/>
    <mergeCell ref="H4:K4"/>
    <mergeCell ref="I5:K5"/>
    <mergeCell ref="I6:K6"/>
    <mergeCell ref="I11:K11"/>
    <mergeCell ref="I10:K10"/>
    <mergeCell ref="I12:K12"/>
    <mergeCell ref="I13:K13"/>
    <mergeCell ref="I14:K14"/>
    <mergeCell ref="I15:K15"/>
    <mergeCell ref="I16:K16"/>
    <mergeCell ref="I17:K17"/>
    <mergeCell ref="I38:K38"/>
    <mergeCell ref="I40:K40"/>
    <mergeCell ref="H44:J44"/>
    <mergeCell ref="H45:J45"/>
    <mergeCell ref="H46:J46"/>
    <mergeCell ref="I26:K26"/>
    <mergeCell ref="I27:K27"/>
    <mergeCell ref="I28:K28"/>
    <mergeCell ref="I29:K29"/>
    <mergeCell ref="H34:K34"/>
    <mergeCell ref="I33:K33"/>
  </mergeCells>
  <conditionalFormatting sqref="K46">
    <cfRule type="expression" dxfId="63" priority="4">
      <formula>$K$46="Non-Compliant"</formula>
    </cfRule>
  </conditionalFormatting>
  <conditionalFormatting sqref="A2:G2">
    <cfRule type="containsText" dxfId="62" priority="1" operator="containsText" text="&lt;Enter Project Name&gt;">
      <formula>NOT(ISERROR(SEARCH("&lt;Enter Project Name&gt;",A2)))</formula>
    </cfRule>
  </conditionalFormatting>
  <pageMargins left="0.23622047244094491" right="0.23622047244094491" top="0.74803149606299213" bottom="0.74803149606299213" header="0.31496062992125984" footer="0.31496062992125984"/>
  <pageSetup orientation="portrait" r:id="rId1"/>
  <headerFooter>
    <oddHeader>&amp;RGM RB: 2016 Score Card Ver. 1
(w.e.f 02 January  2019)</oddHeader>
    <oddFooter>&amp;RPage &amp;P of &amp;N</oddFooter>
  </headerFooter>
  <colBreaks count="1" manualBreakCount="1">
    <brk id="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'Raw Data'!$D$21:$D$23</xm:f>
          </x14:formula1>
          <xm:sqref>K45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H93"/>
  <sheetViews>
    <sheetView zoomScale="115" zoomScaleNormal="115" zoomScaleSheetLayoutView="115" zoomScalePageLayoutView="130" workbookViewId="0">
      <selection activeCell="B19" sqref="B19"/>
    </sheetView>
  </sheetViews>
  <sheetFormatPr defaultRowHeight="10.5" x14ac:dyDescent="0.15"/>
  <cols>
    <col min="1" max="1" width="5" style="39" customWidth="1"/>
    <col min="2" max="2" width="37.42578125" style="39" customWidth="1"/>
    <col min="3" max="3" width="8.7109375" style="39" customWidth="1"/>
    <col min="4" max="4" width="7.42578125" style="39" customWidth="1"/>
    <col min="5" max="5" width="0.85546875" style="39" hidden="1" customWidth="1"/>
    <col min="6" max="8" width="13.85546875" style="39" customWidth="1"/>
    <col min="9" max="16384" width="9.140625" style="39"/>
  </cols>
  <sheetData>
    <row r="1" spans="1:8" s="46" customFormat="1" ht="17.25" customHeight="1" x14ac:dyDescent="0.15">
      <c r="A1" s="40" t="s">
        <v>63</v>
      </c>
      <c r="B1" s="41"/>
      <c r="C1" s="42"/>
      <c r="D1" s="43"/>
      <c r="E1" s="44"/>
      <c r="F1" s="45"/>
      <c r="G1" s="45"/>
      <c r="H1" s="45"/>
    </row>
    <row r="2" spans="1:8" s="61" customFormat="1" ht="12" x14ac:dyDescent="0.2">
      <c r="A2" s="14"/>
      <c r="B2" s="14"/>
      <c r="C2" s="14"/>
      <c r="D2" s="14"/>
      <c r="E2" s="14"/>
      <c r="F2" s="14"/>
      <c r="G2" s="14"/>
      <c r="H2" s="14"/>
    </row>
    <row r="3" spans="1:8" x14ac:dyDescent="0.15">
      <c r="A3" s="250" t="s">
        <v>357</v>
      </c>
      <c r="B3" s="250"/>
      <c r="C3" s="250"/>
      <c r="D3" s="14"/>
      <c r="E3" s="14"/>
      <c r="F3" s="249" t="s">
        <v>354</v>
      </c>
      <c r="G3" s="249"/>
      <c r="H3" s="249"/>
    </row>
    <row r="4" spans="1:8" ht="12" x14ac:dyDescent="0.15">
      <c r="A4" s="250"/>
      <c r="B4" s="250"/>
      <c r="C4" s="250"/>
      <c r="D4" s="14"/>
      <c r="E4" s="14"/>
      <c r="F4" s="20" t="s">
        <v>355</v>
      </c>
      <c r="G4" s="20" t="s">
        <v>356</v>
      </c>
      <c r="H4" s="31" t="s">
        <v>337</v>
      </c>
    </row>
    <row r="5" spans="1:8" ht="15.75" customHeight="1" x14ac:dyDescent="0.15">
      <c r="A5" s="32" t="s">
        <v>388</v>
      </c>
      <c r="B5" s="245" t="s">
        <v>352</v>
      </c>
      <c r="C5" s="245"/>
      <c r="D5" s="18"/>
      <c r="E5" s="18"/>
      <c r="F5" s="100" t="s">
        <v>364</v>
      </c>
      <c r="G5" s="101" t="str">
        <f>IF((OR(C50&gt;=4,G63&gt;=2.5)),"OK","Non-compliance")</f>
        <v>Non-compliance</v>
      </c>
      <c r="H5" s="102" t="str">
        <f>IF((OR(C50&gt;=4,G63&gt;=2.5)),"OK","Non-compliance")</f>
        <v>Non-compliance</v>
      </c>
    </row>
    <row r="6" spans="1:8" ht="15.75" customHeight="1" x14ac:dyDescent="0.15">
      <c r="A6" s="32" t="s">
        <v>389</v>
      </c>
      <c r="B6" s="245" t="s">
        <v>47</v>
      </c>
      <c r="C6" s="245"/>
      <c r="D6" s="18"/>
      <c r="E6" s="18"/>
      <c r="F6" s="101" t="str">
        <f>IF(C67&lt;&gt;0,(IF((AND(C68="Y",C67&lt;=25)),"OK","Non-compliance")),"Enter RETV")</f>
        <v>Enter RETV</v>
      </c>
      <c r="G6" s="101" t="str">
        <f>IF(C67&lt;&gt;0,(IF((AND(C68="Y",C67&lt;=22)),"OK","Non-compliance")),"Enter RETV")</f>
        <v>Enter RETV</v>
      </c>
      <c r="H6" s="102" t="str">
        <f>IF(C67&lt;&gt;0,(IF((AND(C68="Y",C67&lt;=20)),"OK","Non-compliance")),"Enter RETV")</f>
        <v>Enter RETV</v>
      </c>
    </row>
    <row r="7" spans="1:8" ht="15.75" customHeight="1" x14ac:dyDescent="0.15">
      <c r="A7" s="32" t="s">
        <v>390</v>
      </c>
      <c r="B7" s="245" t="s">
        <v>2</v>
      </c>
      <c r="C7" s="245"/>
      <c r="D7" s="18"/>
      <c r="E7" s="18"/>
      <c r="F7" s="100" t="s">
        <v>364</v>
      </c>
      <c r="G7" s="100" t="s">
        <v>364</v>
      </c>
      <c r="H7" s="102" t="str">
        <f>IF(C76&lt;&gt;0,(IF(G76&gt;=1,"OK", "Non-compliance")),"Enter Step")</f>
        <v>Enter Step</v>
      </c>
    </row>
    <row r="8" spans="1:8" ht="15.75" customHeight="1" x14ac:dyDescent="0.15">
      <c r="A8" s="32" t="s">
        <v>391</v>
      </c>
      <c r="B8" s="245" t="s">
        <v>347</v>
      </c>
      <c r="C8" s="245"/>
      <c r="D8" s="18"/>
      <c r="E8" s="105" t="b">
        <v>0</v>
      </c>
      <c r="F8" s="247"/>
      <c r="G8" s="247"/>
      <c r="H8" s="247"/>
    </row>
    <row r="9" spans="1:8" x14ac:dyDescent="0.15">
      <c r="A9" s="32"/>
      <c r="B9" s="21"/>
      <c r="C9" s="19"/>
      <c r="D9" s="15"/>
      <c r="E9" s="16"/>
      <c r="F9" s="15"/>
      <c r="G9" s="16"/>
      <c r="H9" s="16"/>
    </row>
    <row r="10" spans="1:8" ht="15" customHeight="1" x14ac:dyDescent="0.15">
      <c r="A10" s="251">
        <v>1.1000000000000001</v>
      </c>
      <c r="B10" s="253" t="s">
        <v>6</v>
      </c>
      <c r="C10" s="253"/>
      <c r="D10" s="253"/>
      <c r="E10" s="17"/>
      <c r="F10" s="252" t="s">
        <v>353</v>
      </c>
      <c r="G10" s="47" t="s">
        <v>55</v>
      </c>
      <c r="H10" s="47" t="s">
        <v>56</v>
      </c>
    </row>
    <row r="11" spans="1:8" s="46" customFormat="1" ht="12.75" customHeight="1" x14ac:dyDescent="0.15">
      <c r="A11" s="251"/>
      <c r="B11" s="253"/>
      <c r="C11" s="253"/>
      <c r="D11" s="253"/>
      <c r="E11" s="48"/>
      <c r="F11" s="252"/>
      <c r="G11" s="49">
        <f>SUM(G13,G15,G24,G28,G31)</f>
        <v>1.5</v>
      </c>
      <c r="H11" s="49">
        <v>8</v>
      </c>
    </row>
    <row r="12" spans="1:8" x14ac:dyDescent="0.15">
      <c r="A12" s="32" t="s">
        <v>392</v>
      </c>
      <c r="B12" s="21" t="s">
        <v>7</v>
      </c>
      <c r="C12" s="50"/>
      <c r="D12" s="17" t="s">
        <v>358</v>
      </c>
      <c r="E12" s="17"/>
      <c r="F12" s="17"/>
      <c r="G12" s="17">
        <f>IF(C12="Y",1,0)</f>
        <v>0</v>
      </c>
      <c r="H12" s="36">
        <v>1</v>
      </c>
    </row>
    <row r="13" spans="1:8" x14ac:dyDescent="0.15">
      <c r="A13" s="32"/>
      <c r="B13" s="21"/>
      <c r="C13" s="17"/>
      <c r="D13" s="17"/>
      <c r="E13" s="17"/>
      <c r="F13" s="33" t="s">
        <v>431</v>
      </c>
      <c r="G13" s="34">
        <f>SUM(G12)</f>
        <v>0</v>
      </c>
      <c r="H13" s="35"/>
    </row>
    <row r="14" spans="1:8" x14ac:dyDescent="0.15">
      <c r="A14" s="32" t="s">
        <v>393</v>
      </c>
      <c r="B14" s="21" t="s">
        <v>8</v>
      </c>
      <c r="C14" s="50"/>
      <c r="D14" s="17" t="s">
        <v>358</v>
      </c>
      <c r="E14" s="17"/>
      <c r="F14" s="17"/>
      <c r="G14" s="17">
        <f>IF(C14="Y",2,0)</f>
        <v>0</v>
      </c>
      <c r="H14" s="36">
        <v>2</v>
      </c>
    </row>
    <row r="15" spans="1:8" x14ac:dyDescent="0.15">
      <c r="A15" s="32"/>
      <c r="B15" s="21"/>
      <c r="C15" s="17"/>
      <c r="D15" s="17"/>
      <c r="E15" s="17"/>
      <c r="F15" s="33" t="s">
        <v>432</v>
      </c>
      <c r="G15" s="34">
        <f>SUM(G14)</f>
        <v>0</v>
      </c>
      <c r="H15" s="35"/>
    </row>
    <row r="16" spans="1:8" x14ac:dyDescent="0.15">
      <c r="A16" s="32" t="s">
        <v>394</v>
      </c>
      <c r="B16" s="21" t="s">
        <v>9</v>
      </c>
      <c r="C16" s="17"/>
      <c r="D16" s="17"/>
      <c r="E16" s="17"/>
      <c r="F16" s="17"/>
      <c r="G16" s="17"/>
      <c r="H16" s="35"/>
    </row>
    <row r="17" spans="1:8" x14ac:dyDescent="0.15">
      <c r="A17" s="32"/>
      <c r="B17" s="37" t="s">
        <v>501</v>
      </c>
      <c r="C17" s="50"/>
      <c r="D17" s="17" t="s">
        <v>358</v>
      </c>
      <c r="E17" s="17">
        <f>IF(C17="Y",0.25,0)</f>
        <v>0</v>
      </c>
      <c r="F17" s="17"/>
      <c r="G17" s="248">
        <f>IF(SUM(E17:E18)&gt;=0.5,0.5,SUM(E17:E18))</f>
        <v>0</v>
      </c>
      <c r="H17" s="246">
        <v>2</v>
      </c>
    </row>
    <row r="18" spans="1:8" x14ac:dyDescent="0.15">
      <c r="A18" s="32"/>
      <c r="B18" s="37" t="s">
        <v>502</v>
      </c>
      <c r="C18" s="50"/>
      <c r="D18" s="17" t="s">
        <v>358</v>
      </c>
      <c r="E18" s="17">
        <f>IF(C18="Y",0.5,0)</f>
        <v>0</v>
      </c>
      <c r="F18" s="17"/>
      <c r="G18" s="248"/>
      <c r="H18" s="246"/>
    </row>
    <row r="19" spans="1:8" x14ac:dyDescent="0.15">
      <c r="A19" s="32"/>
      <c r="B19" s="37" t="s">
        <v>10</v>
      </c>
      <c r="C19" s="50"/>
      <c r="D19" s="17" t="s">
        <v>361</v>
      </c>
      <c r="E19" s="17">
        <f>IF(OR(C19="Certified",C19="Merit"),0.25,0)</f>
        <v>0</v>
      </c>
      <c r="F19" s="17"/>
      <c r="G19" s="248">
        <f>IF(SUM(E19:E20)&gt;=0.5,0.5,SUM(E19:E20))</f>
        <v>0</v>
      </c>
      <c r="H19" s="246"/>
    </row>
    <row r="20" spans="1:8" x14ac:dyDescent="0.15">
      <c r="A20" s="32"/>
      <c r="B20" s="37" t="s">
        <v>11</v>
      </c>
      <c r="C20" s="17"/>
      <c r="D20" s="17"/>
      <c r="E20" s="17">
        <f>IF(OR(C19="Excellent",C19="Star"),0.5,0)</f>
        <v>0</v>
      </c>
      <c r="F20" s="17"/>
      <c r="G20" s="248"/>
      <c r="H20" s="246"/>
    </row>
    <row r="21" spans="1:8" x14ac:dyDescent="0.15">
      <c r="A21" s="16"/>
      <c r="B21" s="21" t="s">
        <v>12</v>
      </c>
      <c r="C21" s="17"/>
      <c r="D21" s="17"/>
      <c r="E21" s="17"/>
      <c r="F21" s="17"/>
      <c r="G21" s="17"/>
      <c r="H21" s="246"/>
    </row>
    <row r="22" spans="1:8" ht="31.5" x14ac:dyDescent="0.15">
      <c r="A22" s="16"/>
      <c r="B22" s="37" t="s">
        <v>13</v>
      </c>
      <c r="C22" s="50"/>
      <c r="D22" s="17" t="s">
        <v>358</v>
      </c>
      <c r="E22" s="17"/>
      <c r="F22" s="17"/>
      <c r="G22" s="17">
        <f>IF(C22="Y",0.5,0)</f>
        <v>0</v>
      </c>
      <c r="H22" s="246"/>
    </row>
    <row r="23" spans="1:8" x14ac:dyDescent="0.15">
      <c r="A23" s="32"/>
      <c r="B23" s="37" t="s">
        <v>14</v>
      </c>
      <c r="C23" s="50">
        <v>8</v>
      </c>
      <c r="D23" s="17" t="s">
        <v>359</v>
      </c>
      <c r="E23" s="17">
        <f>0.5*C23</f>
        <v>4</v>
      </c>
      <c r="F23" s="17"/>
      <c r="G23" s="17">
        <f>IF(E23&gt;=1.5,1.5,E23)</f>
        <v>1.5</v>
      </c>
      <c r="H23" s="246"/>
    </row>
    <row r="24" spans="1:8" x14ac:dyDescent="0.15">
      <c r="A24" s="32"/>
      <c r="B24" s="21"/>
      <c r="C24" s="17"/>
      <c r="D24" s="17"/>
      <c r="E24" s="17"/>
      <c r="F24" s="33" t="s">
        <v>433</v>
      </c>
      <c r="G24" s="33">
        <f>IF(SUM(G17:G23)&gt;=2,2,SUM(G17:G23))</f>
        <v>1.5</v>
      </c>
    </row>
    <row r="25" spans="1:8" x14ac:dyDescent="0.15">
      <c r="A25" s="32" t="s">
        <v>395</v>
      </c>
      <c r="B25" s="21" t="s">
        <v>321</v>
      </c>
      <c r="C25" s="17"/>
      <c r="D25" s="17"/>
      <c r="E25" s="17"/>
      <c r="F25" s="17"/>
      <c r="G25" s="17"/>
      <c r="H25" s="35"/>
    </row>
    <row r="26" spans="1:8" ht="42" x14ac:dyDescent="0.15">
      <c r="A26" s="32" t="s">
        <v>15</v>
      </c>
      <c r="B26" s="37" t="s">
        <v>16</v>
      </c>
      <c r="C26" s="50"/>
      <c r="D26" s="17" t="s">
        <v>358</v>
      </c>
      <c r="E26" s="17"/>
      <c r="F26" s="17"/>
      <c r="G26" s="17">
        <f>IF(C26="Y",1,0)</f>
        <v>0</v>
      </c>
      <c r="H26" s="246">
        <v>2</v>
      </c>
    </row>
    <row r="27" spans="1:8" ht="21" x14ac:dyDescent="0.15">
      <c r="A27" s="32" t="s">
        <v>17</v>
      </c>
      <c r="B27" s="37" t="s">
        <v>18</v>
      </c>
      <c r="C27" s="50"/>
      <c r="D27" s="17" t="s">
        <v>358</v>
      </c>
      <c r="E27" s="17"/>
      <c r="F27" s="17"/>
      <c r="G27" s="17">
        <f>IF(C27="Y",1,0)</f>
        <v>0</v>
      </c>
      <c r="H27" s="246"/>
    </row>
    <row r="28" spans="1:8" x14ac:dyDescent="0.15">
      <c r="A28" s="32"/>
      <c r="B28" s="21"/>
      <c r="C28" s="17"/>
      <c r="D28" s="17"/>
      <c r="E28" s="17"/>
      <c r="F28" s="33" t="s">
        <v>434</v>
      </c>
      <c r="G28" s="34">
        <f>SUM(G26:G27)</f>
        <v>0</v>
      </c>
      <c r="H28" s="35"/>
    </row>
    <row r="29" spans="1:8" x14ac:dyDescent="0.15">
      <c r="A29" s="32" t="s">
        <v>396</v>
      </c>
      <c r="B29" s="21" t="s">
        <v>19</v>
      </c>
      <c r="C29" s="17"/>
      <c r="D29" s="17"/>
      <c r="E29" s="17"/>
      <c r="F29" s="17"/>
      <c r="G29" s="17"/>
      <c r="H29" s="35"/>
    </row>
    <row r="30" spans="1:8" x14ac:dyDescent="0.15">
      <c r="A30" s="32"/>
      <c r="B30" s="21" t="s">
        <v>20</v>
      </c>
      <c r="C30" s="50"/>
      <c r="D30" s="17" t="s">
        <v>358</v>
      </c>
      <c r="E30" s="17"/>
      <c r="F30" s="17"/>
      <c r="G30" s="17">
        <f>IF(C30="Y",1,0)</f>
        <v>0</v>
      </c>
      <c r="H30" s="36">
        <v>1</v>
      </c>
    </row>
    <row r="31" spans="1:8" x14ac:dyDescent="0.15">
      <c r="A31" s="32"/>
      <c r="B31" s="21"/>
      <c r="C31" s="17"/>
      <c r="D31" s="17"/>
      <c r="E31" s="17"/>
      <c r="F31" s="33" t="s">
        <v>435</v>
      </c>
      <c r="G31" s="34">
        <f>SUM(G30)</f>
        <v>0</v>
      </c>
      <c r="H31" s="35"/>
    </row>
    <row r="32" spans="1:8" x14ac:dyDescent="0.15">
      <c r="A32" s="32"/>
      <c r="B32" s="21"/>
      <c r="C32" s="17"/>
      <c r="D32" s="17"/>
      <c r="E32" s="17"/>
      <c r="G32" s="17"/>
      <c r="H32" s="35"/>
    </row>
    <row r="33" spans="1:8" s="46" customFormat="1" ht="16.5" customHeight="1" x14ac:dyDescent="0.15">
      <c r="A33" s="179">
        <v>1.2</v>
      </c>
      <c r="B33" s="51" t="s">
        <v>21</v>
      </c>
      <c r="C33" s="51"/>
      <c r="D33" s="51"/>
      <c r="E33" s="48"/>
      <c r="F33" s="52"/>
      <c r="G33" s="49">
        <f>SUM(G48,G63)</f>
        <v>0</v>
      </c>
      <c r="H33" s="49">
        <v>10</v>
      </c>
    </row>
    <row r="34" spans="1:8" x14ac:dyDescent="0.15">
      <c r="A34" s="32" t="s">
        <v>397</v>
      </c>
      <c r="B34" s="21" t="s">
        <v>22</v>
      </c>
      <c r="C34" s="17"/>
      <c r="D34" s="17"/>
      <c r="E34" s="17"/>
      <c r="F34" s="17"/>
      <c r="G34" s="17"/>
      <c r="H34" s="35"/>
    </row>
    <row r="35" spans="1:8" x14ac:dyDescent="0.15">
      <c r="A35" s="32" t="s">
        <v>23</v>
      </c>
      <c r="B35" s="37" t="s">
        <v>496</v>
      </c>
      <c r="C35" s="17"/>
      <c r="D35" s="17"/>
      <c r="E35" s="17"/>
      <c r="F35" s="17"/>
      <c r="G35" s="17"/>
      <c r="H35" s="35"/>
    </row>
    <row r="36" spans="1:8" x14ac:dyDescent="0.15">
      <c r="A36" s="32"/>
      <c r="B36" s="53" t="s">
        <v>497</v>
      </c>
      <c r="C36" s="50"/>
      <c r="D36" s="17" t="s">
        <v>358</v>
      </c>
      <c r="E36" s="17">
        <f>IF(C36="Y",1,0)</f>
        <v>0</v>
      </c>
      <c r="F36" s="17"/>
      <c r="G36" s="248">
        <f>IF(SUM(E36:E37)&gt;=2,2,SUM(E36:E37))</f>
        <v>0</v>
      </c>
      <c r="H36" s="246">
        <v>2</v>
      </c>
    </row>
    <row r="37" spans="1:8" ht="21" x14ac:dyDescent="0.15">
      <c r="A37" s="32"/>
      <c r="B37" s="53" t="s">
        <v>24</v>
      </c>
      <c r="C37" s="50"/>
      <c r="D37" s="17" t="s">
        <v>358</v>
      </c>
      <c r="E37" s="17">
        <f>IF(C37="Y",2,0)</f>
        <v>0</v>
      </c>
      <c r="F37" s="17"/>
      <c r="G37" s="248"/>
      <c r="H37" s="246"/>
    </row>
    <row r="38" spans="1:8" x14ac:dyDescent="0.15">
      <c r="A38" s="32"/>
      <c r="B38" s="21"/>
      <c r="C38" s="16"/>
      <c r="D38" s="17"/>
      <c r="E38" s="17"/>
      <c r="F38" s="17"/>
      <c r="G38" s="17"/>
      <c r="H38" s="54"/>
    </row>
    <row r="39" spans="1:8" x14ac:dyDescent="0.15">
      <c r="A39" s="32" t="s">
        <v>25</v>
      </c>
      <c r="B39" s="21" t="s">
        <v>26</v>
      </c>
      <c r="C39" s="17"/>
      <c r="D39" s="17"/>
      <c r="E39" s="17"/>
      <c r="F39" s="17"/>
      <c r="G39" s="17"/>
      <c r="H39" s="35"/>
    </row>
    <row r="40" spans="1:8" ht="31.5" x14ac:dyDescent="0.15">
      <c r="A40" s="32"/>
      <c r="B40" s="37" t="s">
        <v>27</v>
      </c>
      <c r="C40" s="50"/>
      <c r="D40" s="17" t="s">
        <v>358</v>
      </c>
      <c r="E40" s="17">
        <f>IF(C40="Y",1,0)</f>
        <v>0</v>
      </c>
      <c r="F40" s="17"/>
      <c r="G40" s="248">
        <f>IF(SUM(E40:E41)&gt;=3,3,SUM(E40:E41))</f>
        <v>0</v>
      </c>
      <c r="H40" s="246">
        <v>3</v>
      </c>
    </row>
    <row r="41" spans="1:8" x14ac:dyDescent="0.15">
      <c r="A41" s="32"/>
      <c r="B41" s="37" t="s">
        <v>28</v>
      </c>
      <c r="C41" s="50"/>
      <c r="D41" s="17" t="s">
        <v>358</v>
      </c>
      <c r="E41" s="17">
        <f>IF(C41="Y",3,0)</f>
        <v>0</v>
      </c>
      <c r="F41" s="17"/>
      <c r="G41" s="248"/>
      <c r="H41" s="246"/>
    </row>
    <row r="42" spans="1:8" x14ac:dyDescent="0.15">
      <c r="A42" s="32"/>
      <c r="B42" s="21"/>
      <c r="C42" s="16"/>
      <c r="D42" s="17"/>
      <c r="E42" s="17"/>
      <c r="F42" s="17"/>
      <c r="G42" s="17"/>
      <c r="H42" s="54"/>
    </row>
    <row r="43" spans="1:8" x14ac:dyDescent="0.15">
      <c r="A43" s="32" t="s">
        <v>29</v>
      </c>
      <c r="B43" s="21" t="s">
        <v>30</v>
      </c>
      <c r="C43" s="17"/>
      <c r="D43" s="17"/>
      <c r="E43" s="17">
        <f>IF(AND(C44&gt;=50,C44&lt;80),0.5,0)</f>
        <v>0</v>
      </c>
      <c r="F43" s="17"/>
      <c r="G43" s="17"/>
      <c r="H43" s="35"/>
    </row>
    <row r="44" spans="1:8" ht="21" x14ac:dyDescent="0.15">
      <c r="A44" s="32"/>
      <c r="B44" s="37" t="s">
        <v>31</v>
      </c>
      <c r="C44" s="50"/>
      <c r="D44" s="17" t="s">
        <v>360</v>
      </c>
      <c r="E44" s="17">
        <f>IF(C44&gt;=80,1,0)</f>
        <v>0</v>
      </c>
      <c r="F44" s="17"/>
      <c r="G44" s="17">
        <f>IF(SUM(E43:E44)&gt;=1,1,SUM(E43:E44))</f>
        <v>0</v>
      </c>
      <c r="H44" s="36">
        <v>1</v>
      </c>
    </row>
    <row r="45" spans="1:8" x14ac:dyDescent="0.15">
      <c r="A45" s="32" t="s">
        <v>32</v>
      </c>
      <c r="B45" s="21" t="s">
        <v>498</v>
      </c>
      <c r="C45" s="17"/>
      <c r="D45" s="17"/>
      <c r="E45" s="17"/>
      <c r="F45" s="17"/>
      <c r="G45" s="17"/>
      <c r="H45" s="35"/>
    </row>
    <row r="46" spans="1:8" ht="31.5" x14ac:dyDescent="0.15">
      <c r="A46" s="32"/>
      <c r="B46" s="37" t="s">
        <v>33</v>
      </c>
      <c r="C46" s="50"/>
      <c r="D46" s="17" t="s">
        <v>358</v>
      </c>
      <c r="E46" s="17">
        <f>IF(C46="Y",0.5,0)</f>
        <v>0</v>
      </c>
      <c r="F46" s="17"/>
      <c r="G46" s="248">
        <f>IF(SUM(E46:E47)&gt;=1,1,SUM(E46:E47))</f>
        <v>0</v>
      </c>
      <c r="H46" s="246">
        <v>1</v>
      </c>
    </row>
    <row r="47" spans="1:8" ht="21" x14ac:dyDescent="0.15">
      <c r="A47" s="32"/>
      <c r="B47" s="37" t="s">
        <v>34</v>
      </c>
      <c r="C47" s="50"/>
      <c r="D47" s="17" t="s">
        <v>358</v>
      </c>
      <c r="E47" s="17">
        <f>IF(C47="Y",1,0)</f>
        <v>0</v>
      </c>
      <c r="F47" s="17"/>
      <c r="G47" s="248"/>
      <c r="H47" s="246"/>
    </row>
    <row r="48" spans="1:8" x14ac:dyDescent="0.15">
      <c r="A48" s="32"/>
      <c r="B48" s="21"/>
      <c r="C48" s="17"/>
      <c r="D48" s="17"/>
      <c r="E48" s="17"/>
      <c r="F48" s="33" t="s">
        <v>436</v>
      </c>
      <c r="G48" s="34">
        <f>IF(SUM(G36,G40,G44,G46)&gt;=5,5,SUM(G36,G40,G44,G46))</f>
        <v>0</v>
      </c>
      <c r="H48" s="35"/>
    </row>
    <row r="49" spans="1:8" x14ac:dyDescent="0.15">
      <c r="A49" s="32" t="s">
        <v>398</v>
      </c>
      <c r="B49" s="21" t="s">
        <v>35</v>
      </c>
      <c r="C49" s="17"/>
      <c r="D49" s="17"/>
      <c r="E49" s="17"/>
      <c r="F49" s="17"/>
      <c r="G49" s="17"/>
      <c r="H49" s="35"/>
    </row>
    <row r="50" spans="1:8" x14ac:dyDescent="0.15">
      <c r="A50" s="32" t="s">
        <v>23</v>
      </c>
      <c r="B50" s="37" t="s">
        <v>499</v>
      </c>
      <c r="C50" s="50"/>
      <c r="D50" s="17" t="s">
        <v>359</v>
      </c>
      <c r="E50" s="17"/>
      <c r="F50" s="17"/>
      <c r="G50" s="17">
        <f>IF(C50&lt;2.5,0,(VLOOKUP(C50,'Raw Data'!A3:B23,2,TRUE)))</f>
        <v>0</v>
      </c>
      <c r="H50" s="36">
        <v>3</v>
      </c>
    </row>
    <row r="51" spans="1:8" x14ac:dyDescent="0.15">
      <c r="A51" s="32" t="s">
        <v>25</v>
      </c>
      <c r="B51" s="37" t="s">
        <v>36</v>
      </c>
      <c r="C51" s="17"/>
      <c r="D51" s="17"/>
      <c r="E51" s="17"/>
      <c r="F51" s="17"/>
      <c r="G51" s="17"/>
      <c r="H51" s="35"/>
    </row>
    <row r="52" spans="1:8" x14ac:dyDescent="0.15">
      <c r="A52" s="32"/>
      <c r="B52" s="53" t="s">
        <v>37</v>
      </c>
      <c r="C52" s="50"/>
      <c r="D52" s="17" t="s">
        <v>358</v>
      </c>
      <c r="E52" s="17">
        <f>IF(C52="Y",0.5,0)</f>
        <v>0</v>
      </c>
      <c r="F52" s="17"/>
      <c r="G52" s="248">
        <f>IF(SUM(E52:E53)&gt;=1,1,SUM(E52:E53))</f>
        <v>0</v>
      </c>
      <c r="H52" s="246">
        <v>1</v>
      </c>
    </row>
    <row r="53" spans="1:8" x14ac:dyDescent="0.15">
      <c r="A53" s="32"/>
      <c r="B53" s="53" t="s">
        <v>38</v>
      </c>
      <c r="C53" s="50"/>
      <c r="D53" s="17" t="s">
        <v>358</v>
      </c>
      <c r="E53" s="17">
        <f>IF(C53="Y",0.5,0)</f>
        <v>0</v>
      </c>
      <c r="F53" s="17"/>
      <c r="G53" s="248"/>
      <c r="H53" s="246"/>
    </row>
    <row r="54" spans="1:8" x14ac:dyDescent="0.15">
      <c r="A54" s="32" t="s">
        <v>29</v>
      </c>
      <c r="B54" s="37" t="s">
        <v>39</v>
      </c>
      <c r="C54" s="17"/>
      <c r="D54" s="17"/>
      <c r="E54" s="17"/>
      <c r="F54" s="17"/>
      <c r="G54" s="17"/>
      <c r="H54" s="35"/>
    </row>
    <row r="55" spans="1:8" ht="31.5" x14ac:dyDescent="0.15">
      <c r="A55" s="32"/>
      <c r="B55" s="53" t="s">
        <v>40</v>
      </c>
      <c r="C55" s="50"/>
      <c r="D55" s="17" t="s">
        <v>358</v>
      </c>
      <c r="E55" s="17">
        <f>IF(C55="Y",1,0)</f>
        <v>0</v>
      </c>
      <c r="F55" s="17"/>
      <c r="G55" s="248">
        <f>IF(SUM(E55:E57)&gt;=1,1,SUM(E55:E57))</f>
        <v>0</v>
      </c>
      <c r="H55" s="246">
        <v>1</v>
      </c>
    </row>
    <row r="56" spans="1:8" ht="21" x14ac:dyDescent="0.15">
      <c r="A56" s="32"/>
      <c r="B56" s="53" t="s">
        <v>41</v>
      </c>
      <c r="C56" s="50"/>
      <c r="D56" s="17" t="s">
        <v>358</v>
      </c>
      <c r="E56" s="17">
        <f>IF(C56="Y",0.5,0)</f>
        <v>0</v>
      </c>
      <c r="F56" s="17"/>
      <c r="G56" s="248"/>
      <c r="H56" s="246"/>
    </row>
    <row r="57" spans="1:8" x14ac:dyDescent="0.15">
      <c r="A57" s="32"/>
      <c r="B57" s="53" t="s">
        <v>42</v>
      </c>
      <c r="C57" s="50"/>
      <c r="D57" s="17" t="s">
        <v>358</v>
      </c>
      <c r="E57" s="17">
        <f>IF(C57="Y",0.5,0)</f>
        <v>0</v>
      </c>
      <c r="F57" s="17"/>
      <c r="G57" s="248"/>
      <c r="H57" s="246"/>
    </row>
    <row r="58" spans="1:8" x14ac:dyDescent="0.15">
      <c r="A58" s="32"/>
      <c r="B58" s="21"/>
      <c r="C58" s="16"/>
      <c r="D58" s="17"/>
      <c r="E58" s="17"/>
      <c r="F58" s="17"/>
      <c r="G58" s="17"/>
      <c r="H58" s="35"/>
    </row>
    <row r="59" spans="1:8" x14ac:dyDescent="0.15">
      <c r="A59" s="32" t="s">
        <v>32</v>
      </c>
      <c r="B59" s="37" t="s">
        <v>43</v>
      </c>
      <c r="C59" s="17"/>
      <c r="D59" s="17"/>
      <c r="E59" s="17"/>
      <c r="F59" s="17"/>
      <c r="G59" s="17"/>
      <c r="H59" s="35"/>
    </row>
    <row r="60" spans="1:8" ht="21" x14ac:dyDescent="0.15">
      <c r="A60" s="32"/>
      <c r="B60" s="53" t="s">
        <v>44</v>
      </c>
      <c r="C60" s="50"/>
      <c r="D60" s="17" t="s">
        <v>358</v>
      </c>
      <c r="E60" s="17">
        <f>IF(C60="Y",1,0)</f>
        <v>0</v>
      </c>
      <c r="F60" s="17"/>
      <c r="G60" s="248">
        <f>IF(SUM(E60,E62)&gt;=1,1,SUM(E60,E62))</f>
        <v>0</v>
      </c>
      <c r="H60" s="246">
        <v>1</v>
      </c>
    </row>
    <row r="61" spans="1:8" x14ac:dyDescent="0.15">
      <c r="A61" s="32"/>
      <c r="B61" s="55" t="s">
        <v>1</v>
      </c>
      <c r="C61" s="17"/>
      <c r="D61" s="17"/>
      <c r="E61" s="17"/>
      <c r="F61" s="17"/>
      <c r="G61" s="248"/>
      <c r="H61" s="246"/>
    </row>
    <row r="62" spans="1:8" ht="31.5" x14ac:dyDescent="0.15">
      <c r="A62" s="32"/>
      <c r="B62" s="53" t="s">
        <v>45</v>
      </c>
      <c r="C62" s="50"/>
      <c r="D62" s="17" t="s">
        <v>360</v>
      </c>
      <c r="E62" s="17">
        <f>IF(C62&gt;=10,0.5,0)</f>
        <v>0</v>
      </c>
      <c r="F62" s="17"/>
      <c r="G62" s="248"/>
      <c r="H62" s="246"/>
    </row>
    <row r="63" spans="1:8" x14ac:dyDescent="0.15">
      <c r="A63" s="32"/>
      <c r="B63" s="53" t="s">
        <v>297</v>
      </c>
      <c r="D63" s="56"/>
      <c r="F63" s="33" t="s">
        <v>437</v>
      </c>
      <c r="G63" s="34">
        <f>IF(SUM(G50,G52,G55,G60)&gt;=5,5,SUM(G50,G52,G55,G60))</f>
        <v>0</v>
      </c>
      <c r="H63" s="16"/>
    </row>
    <row r="64" spans="1:8" x14ac:dyDescent="0.15">
      <c r="A64" s="32"/>
      <c r="B64" s="21"/>
      <c r="C64" s="17"/>
      <c r="D64" s="57"/>
      <c r="E64" s="17"/>
      <c r="G64" s="17"/>
      <c r="H64" s="35"/>
    </row>
    <row r="65" spans="1:8" s="61" customFormat="1" ht="16.5" customHeight="1" x14ac:dyDescent="0.2">
      <c r="A65" s="58">
        <v>1.3</v>
      </c>
      <c r="B65" s="254" t="s">
        <v>46</v>
      </c>
      <c r="C65" s="254"/>
      <c r="D65" s="254"/>
      <c r="E65" s="59"/>
      <c r="F65" s="28"/>
      <c r="G65" s="60">
        <f>SUM(G69,G73,G90)</f>
        <v>0</v>
      </c>
      <c r="H65" s="47">
        <v>17</v>
      </c>
    </row>
    <row r="66" spans="1:8" x14ac:dyDescent="0.15">
      <c r="A66" s="32" t="s">
        <v>399</v>
      </c>
      <c r="B66" s="21" t="s">
        <v>47</v>
      </c>
      <c r="C66" s="17"/>
      <c r="D66" s="57"/>
      <c r="E66" s="17"/>
      <c r="F66" s="17"/>
      <c r="G66" s="17"/>
      <c r="H66" s="35"/>
    </row>
    <row r="67" spans="1:8" x14ac:dyDescent="0.15">
      <c r="A67" s="32"/>
      <c r="B67" s="37" t="s">
        <v>48</v>
      </c>
      <c r="C67" s="62"/>
      <c r="D67" s="17" t="s">
        <v>359</v>
      </c>
      <c r="E67" s="17">
        <f>IF(C67&lt;=0,0,(IF(C67&lt;=25,25-C67,0)))</f>
        <v>0</v>
      </c>
      <c r="F67" s="17"/>
      <c r="G67" s="63">
        <f>IF(E67&gt;=5,5,E67)</f>
        <v>0</v>
      </c>
      <c r="H67" s="36">
        <v>5</v>
      </c>
    </row>
    <row r="68" spans="1:8" ht="21" x14ac:dyDescent="0.15">
      <c r="A68" s="32"/>
      <c r="B68" s="37" t="s">
        <v>365</v>
      </c>
      <c r="C68" s="50"/>
      <c r="D68" s="17" t="s">
        <v>358</v>
      </c>
      <c r="E68" s="37"/>
      <c r="F68" s="17"/>
      <c r="G68" s="63"/>
      <c r="H68" s="63"/>
    </row>
    <row r="69" spans="1:8" x14ac:dyDescent="0.15">
      <c r="A69" s="16"/>
      <c r="B69" s="18"/>
      <c r="C69" s="17"/>
      <c r="D69" s="17"/>
      <c r="E69" s="17"/>
      <c r="F69" s="33" t="s">
        <v>438</v>
      </c>
      <c r="G69" s="64">
        <f>SUM(G67)</f>
        <v>0</v>
      </c>
      <c r="H69" s="35"/>
    </row>
    <row r="70" spans="1:8" x14ac:dyDescent="0.15">
      <c r="A70" s="32" t="s">
        <v>400</v>
      </c>
      <c r="B70" s="21" t="s">
        <v>49</v>
      </c>
      <c r="C70" s="17"/>
      <c r="D70" s="17"/>
      <c r="E70" s="17"/>
      <c r="F70" s="17"/>
      <c r="G70" s="17"/>
      <c r="H70" s="35"/>
    </row>
    <row r="71" spans="1:8" ht="21" x14ac:dyDescent="0.15">
      <c r="A71" s="32"/>
      <c r="B71" s="37" t="s">
        <v>50</v>
      </c>
      <c r="C71" s="50"/>
      <c r="D71" s="17" t="s">
        <v>358</v>
      </c>
      <c r="E71" s="17"/>
      <c r="F71" s="17"/>
      <c r="G71" s="17">
        <f>IF(C71="Y",1,0)</f>
        <v>0</v>
      </c>
      <c r="H71" s="246">
        <v>2</v>
      </c>
    </row>
    <row r="72" spans="1:8" x14ac:dyDescent="0.15">
      <c r="A72" s="32"/>
      <c r="B72" s="37" t="s">
        <v>51</v>
      </c>
      <c r="C72" s="50"/>
      <c r="D72" s="17" t="s">
        <v>358</v>
      </c>
      <c r="E72" s="17"/>
      <c r="F72" s="17"/>
      <c r="G72" s="17">
        <f>IF(C72="Y",1,0)</f>
        <v>0</v>
      </c>
      <c r="H72" s="246"/>
    </row>
    <row r="73" spans="1:8" x14ac:dyDescent="0.15">
      <c r="A73" s="16"/>
      <c r="B73" s="18"/>
      <c r="C73" s="17"/>
      <c r="D73" s="17"/>
      <c r="E73" s="17"/>
      <c r="F73" s="33" t="s">
        <v>439</v>
      </c>
      <c r="G73" s="34">
        <f>SUM(G71:G72)</f>
        <v>0</v>
      </c>
      <c r="H73" s="35"/>
    </row>
    <row r="74" spans="1:8" x14ac:dyDescent="0.15">
      <c r="A74" s="32" t="s">
        <v>401</v>
      </c>
      <c r="B74" s="21" t="s">
        <v>2</v>
      </c>
      <c r="C74" s="17"/>
      <c r="D74" s="17"/>
      <c r="E74" s="17"/>
      <c r="F74" s="17"/>
      <c r="G74" s="17"/>
      <c r="H74" s="35"/>
    </row>
    <row r="75" spans="1:8" x14ac:dyDescent="0.15">
      <c r="A75" s="32" t="s">
        <v>23</v>
      </c>
      <c r="B75" s="21" t="s">
        <v>61</v>
      </c>
      <c r="C75" s="17"/>
      <c r="D75" s="17"/>
      <c r="E75" s="17"/>
      <c r="F75" s="17"/>
      <c r="G75" s="17"/>
      <c r="H75" s="35"/>
    </row>
    <row r="76" spans="1:8" x14ac:dyDescent="0.15">
      <c r="A76" s="32"/>
      <c r="B76" s="21" t="s">
        <v>298</v>
      </c>
      <c r="C76" s="65"/>
      <c r="D76" s="17" t="s">
        <v>361</v>
      </c>
      <c r="E76" s="17"/>
      <c r="F76" s="17"/>
      <c r="G76" s="256">
        <f>SUM(E77,E79,E82)</f>
        <v>0</v>
      </c>
      <c r="H76" s="246">
        <v>10</v>
      </c>
    </row>
    <row r="77" spans="1:8" ht="21" x14ac:dyDescent="0.15">
      <c r="A77" s="32"/>
      <c r="B77" s="37" t="s">
        <v>299</v>
      </c>
      <c r="C77" s="50"/>
      <c r="D77" s="57" t="s">
        <v>3</v>
      </c>
      <c r="E77" s="17">
        <f>IF(C76=1,(IF(C77&gt;=70,3,0)),0)</f>
        <v>0</v>
      </c>
      <c r="F77" s="17"/>
      <c r="G77" s="248"/>
      <c r="H77" s="246"/>
    </row>
    <row r="78" spans="1:8" x14ac:dyDescent="0.15">
      <c r="A78" s="32"/>
      <c r="B78" s="55" t="s">
        <v>1</v>
      </c>
      <c r="C78" s="17"/>
      <c r="D78" s="57"/>
      <c r="E78" s="17"/>
      <c r="F78" s="17"/>
      <c r="G78" s="248"/>
      <c r="H78" s="246"/>
    </row>
    <row r="79" spans="1:8" ht="21" x14ac:dyDescent="0.15">
      <c r="A79" s="32"/>
      <c r="B79" s="37" t="s">
        <v>300</v>
      </c>
      <c r="C79" s="50"/>
      <c r="D79" s="57" t="s">
        <v>3</v>
      </c>
      <c r="E79" s="63">
        <f>IF(C76=2,(IF((C79/7)&gt;=10,10,(C79/7))),0)</f>
        <v>0</v>
      </c>
      <c r="F79" s="17"/>
      <c r="G79" s="248"/>
      <c r="H79" s="246"/>
    </row>
    <row r="80" spans="1:8" x14ac:dyDescent="0.15">
      <c r="A80" s="32"/>
      <c r="B80" s="55" t="s">
        <v>1</v>
      </c>
      <c r="C80" s="17"/>
      <c r="D80" s="57"/>
      <c r="E80" s="17"/>
      <c r="F80" s="17"/>
      <c r="G80" s="248"/>
      <c r="H80" s="246"/>
    </row>
    <row r="81" spans="1:8" x14ac:dyDescent="0.15">
      <c r="A81" s="32"/>
      <c r="B81" s="37" t="s">
        <v>301</v>
      </c>
      <c r="C81" s="17"/>
      <c r="D81" s="57"/>
      <c r="E81" s="17"/>
      <c r="F81" s="17"/>
      <c r="G81" s="248"/>
      <c r="H81" s="246"/>
    </row>
    <row r="82" spans="1:8" x14ac:dyDescent="0.15">
      <c r="A82" s="32"/>
      <c r="B82" s="37" t="s">
        <v>4</v>
      </c>
      <c r="C82" s="158" t="str">
        <f>IF(C84&lt;&gt;0,(-11.7853+0.4232*C83-0.57889*C84),"Enter Speed")</f>
        <v>Enter Speed</v>
      </c>
      <c r="D82" s="57"/>
      <c r="E82" s="17">
        <f>IF((AND(C83&lt;&gt;0,C84&lt;&gt;0)),(IF(C76=3,(IF(AND(C82&gt;-0.5,C82&lt;0.5),1,0)),0)),0)</f>
        <v>0</v>
      </c>
      <c r="F82" s="17"/>
      <c r="G82" s="248"/>
      <c r="H82" s="246"/>
    </row>
    <row r="83" spans="1:8" x14ac:dyDescent="0.15">
      <c r="A83" s="32"/>
      <c r="B83" s="37" t="s">
        <v>296</v>
      </c>
      <c r="C83" s="185">
        <v>30</v>
      </c>
      <c r="D83" s="57"/>
      <c r="E83" s="17"/>
      <c r="F83" s="17"/>
      <c r="G83" s="248"/>
      <c r="H83" s="246"/>
    </row>
    <row r="84" spans="1:8" x14ac:dyDescent="0.15">
      <c r="A84" s="32"/>
      <c r="B84" s="37" t="s">
        <v>5</v>
      </c>
      <c r="C84" s="50"/>
      <c r="D84" s="57" t="s">
        <v>0</v>
      </c>
      <c r="E84" s="17"/>
      <c r="F84" s="17"/>
      <c r="G84" s="248"/>
      <c r="H84" s="246"/>
    </row>
    <row r="85" spans="1:8" x14ac:dyDescent="0.15">
      <c r="A85" s="32"/>
      <c r="B85" s="66"/>
      <c r="C85" s="67"/>
      <c r="D85" s="68"/>
      <c r="E85" s="30"/>
      <c r="F85" s="30"/>
      <c r="G85" s="30"/>
      <c r="H85" s="69"/>
    </row>
    <row r="86" spans="1:8" x14ac:dyDescent="0.15">
      <c r="A86" s="32" t="s">
        <v>25</v>
      </c>
      <c r="B86" s="21" t="s">
        <v>62</v>
      </c>
      <c r="C86" s="17"/>
      <c r="D86" s="57"/>
      <c r="E86" s="17"/>
      <c r="F86" s="17"/>
      <c r="G86" s="17"/>
      <c r="H86" s="35"/>
    </row>
    <row r="87" spans="1:8" ht="21" x14ac:dyDescent="0.15">
      <c r="A87" s="32"/>
      <c r="B87" s="37" t="s">
        <v>52</v>
      </c>
      <c r="C87" s="50"/>
      <c r="D87" s="17" t="s">
        <v>360</v>
      </c>
      <c r="E87" s="17">
        <f>C87/10*0.5</f>
        <v>0</v>
      </c>
      <c r="F87" s="17"/>
      <c r="G87" s="248">
        <f>IF(C76=2,0,IF(SUM(E87,E89)&gt;=7,7,SUM(E89,E87)))</f>
        <v>0</v>
      </c>
      <c r="H87" s="246">
        <v>7</v>
      </c>
    </row>
    <row r="88" spans="1:8" x14ac:dyDescent="0.15">
      <c r="A88" s="32"/>
      <c r="B88" s="21" t="s">
        <v>53</v>
      </c>
      <c r="C88" s="17"/>
      <c r="D88" s="17"/>
      <c r="E88" s="17"/>
      <c r="F88" s="17"/>
      <c r="G88" s="248"/>
      <c r="H88" s="246"/>
    </row>
    <row r="89" spans="1:8" ht="21" x14ac:dyDescent="0.15">
      <c r="A89" s="32"/>
      <c r="B89" s="37" t="s">
        <v>54</v>
      </c>
      <c r="C89" s="50"/>
      <c r="D89" s="17" t="s">
        <v>360</v>
      </c>
      <c r="E89" s="17">
        <f>C89/10*0.5</f>
        <v>0</v>
      </c>
      <c r="F89" s="17"/>
      <c r="G89" s="248"/>
      <c r="H89" s="246"/>
    </row>
    <row r="90" spans="1:8" x14ac:dyDescent="0.15">
      <c r="A90" s="16"/>
      <c r="B90" s="18"/>
      <c r="C90" s="17"/>
      <c r="D90" s="17"/>
      <c r="E90" s="17"/>
      <c r="F90" s="33" t="s">
        <v>440</v>
      </c>
      <c r="G90" s="64">
        <f>SUM(G76,G87)</f>
        <v>0</v>
      </c>
      <c r="H90" s="35"/>
    </row>
    <row r="91" spans="1:8" x14ac:dyDescent="0.15">
      <c r="B91" s="70" t="s">
        <v>441</v>
      </c>
    </row>
    <row r="93" spans="1:8" x14ac:dyDescent="0.15">
      <c r="A93" s="255"/>
      <c r="B93" s="255"/>
      <c r="C93" s="255"/>
      <c r="D93" s="255"/>
      <c r="E93" s="255"/>
      <c r="F93" s="255"/>
      <c r="G93" s="255"/>
      <c r="H93" s="255"/>
    </row>
  </sheetData>
  <sheetProtection algorithmName="SHA-512" hashValue="7IXmwSht8fwF3uhP4+1xxEOgWe3W2/DI3ZGBf/4Qb7VVXf0WfrO2lcsTWSGIKmzeuj9TzNbm/QWqlnbGp3toEQ==" saltValue="L1mRKtWNq6p0IMfROMR60A==" spinCount="100000" sheet="1"/>
  <protectedRanges>
    <protectedRange sqref="C62 C50 C44 C12 C77 C6 C79 C85 C87 C89 C14 C17:C19 C22:C23 C26:C27 C30 C36:C37 C40:C41 C46:C47 C52:C53 C55:C57 C60 C71:C72 C67:C68" name="input1"/>
    <protectedRange sqref="C83:C84" name="input1_2"/>
  </protectedRanges>
  <mergeCells count="33">
    <mergeCell ref="G19:G20"/>
    <mergeCell ref="B5:C5"/>
    <mergeCell ref="B65:D65"/>
    <mergeCell ref="B6:C6"/>
    <mergeCell ref="B7:C7"/>
    <mergeCell ref="A93:H93"/>
    <mergeCell ref="H76:H84"/>
    <mergeCell ref="G76:G84"/>
    <mergeCell ref="G87:G89"/>
    <mergeCell ref="H17:H23"/>
    <mergeCell ref="G46:G47"/>
    <mergeCell ref="G52:G53"/>
    <mergeCell ref="G55:G57"/>
    <mergeCell ref="G60:G62"/>
    <mergeCell ref="H60:H62"/>
    <mergeCell ref="H55:H57"/>
    <mergeCell ref="H71:H72"/>
    <mergeCell ref="B8:C8"/>
    <mergeCell ref="H87:H89"/>
    <mergeCell ref="F8:H8"/>
    <mergeCell ref="G17:G18"/>
    <mergeCell ref="F3:H3"/>
    <mergeCell ref="A3:C4"/>
    <mergeCell ref="H52:H53"/>
    <mergeCell ref="H40:H41"/>
    <mergeCell ref="A10:A11"/>
    <mergeCell ref="F10:F11"/>
    <mergeCell ref="B10:D11"/>
    <mergeCell ref="G36:G37"/>
    <mergeCell ref="H36:H37"/>
    <mergeCell ref="G40:G41"/>
    <mergeCell ref="H26:H27"/>
    <mergeCell ref="H46:H47"/>
  </mergeCells>
  <conditionalFormatting sqref="C77">
    <cfRule type="expression" dxfId="61" priority="25">
      <formula>$C$76&lt;&gt;1</formula>
    </cfRule>
  </conditionalFormatting>
  <conditionalFormatting sqref="C79">
    <cfRule type="expression" dxfId="60" priority="24">
      <formula>$C$76&lt;&gt;2</formula>
    </cfRule>
  </conditionalFormatting>
  <conditionalFormatting sqref="D79">
    <cfRule type="expression" dxfId="59" priority="21">
      <formula>$C$76&lt;&gt;2</formula>
    </cfRule>
  </conditionalFormatting>
  <conditionalFormatting sqref="D83:D84">
    <cfRule type="expression" dxfId="58" priority="20">
      <formula>$C$76&lt;&gt;3</formula>
    </cfRule>
  </conditionalFormatting>
  <conditionalFormatting sqref="D77">
    <cfRule type="expression" dxfId="57" priority="19">
      <formula>$C$76&lt;&gt;1</formula>
    </cfRule>
  </conditionalFormatting>
  <conditionalFormatting sqref="C87 C89">
    <cfRule type="expression" dxfId="56" priority="18">
      <formula>$C$76=2</formula>
    </cfRule>
  </conditionalFormatting>
  <conditionalFormatting sqref="D87 D89">
    <cfRule type="expression" dxfId="55" priority="17">
      <formula>$C$76=2</formula>
    </cfRule>
  </conditionalFormatting>
  <conditionalFormatting sqref="F8">
    <cfRule type="expression" dxfId="54" priority="13">
      <formula>$F$8="True"</formula>
    </cfRule>
  </conditionalFormatting>
  <conditionalFormatting sqref="G5">
    <cfRule type="expression" dxfId="53" priority="12">
      <formula>$G$5="OK"</formula>
    </cfRule>
  </conditionalFormatting>
  <conditionalFormatting sqref="H5">
    <cfRule type="expression" dxfId="52" priority="11">
      <formula>$H$5="OK"</formula>
    </cfRule>
  </conditionalFormatting>
  <conditionalFormatting sqref="F6">
    <cfRule type="expression" dxfId="51" priority="10">
      <formula>$F$6="OK"</formula>
    </cfRule>
  </conditionalFormatting>
  <conditionalFormatting sqref="G6">
    <cfRule type="expression" dxfId="50" priority="9">
      <formula>$G$6="OK"</formula>
    </cfRule>
  </conditionalFormatting>
  <conditionalFormatting sqref="H6">
    <cfRule type="expression" dxfId="49" priority="8">
      <formula>$H$6="OK"</formula>
    </cfRule>
  </conditionalFormatting>
  <conditionalFormatting sqref="F8:H8">
    <cfRule type="expression" dxfId="48" priority="6">
      <formula>$E$8=TRUE</formula>
    </cfRule>
    <cfRule type="expression" dxfId="47" priority="7">
      <formula>$E$8="TRUE"</formula>
    </cfRule>
  </conditionalFormatting>
  <conditionalFormatting sqref="H7">
    <cfRule type="expression" dxfId="46" priority="5">
      <formula>$H$7="OK"</formula>
    </cfRule>
  </conditionalFormatting>
  <conditionalFormatting sqref="C83:C84">
    <cfRule type="expression" dxfId="45" priority="3">
      <formula>$C$76&lt;&gt;3</formula>
    </cfRule>
  </conditionalFormatting>
  <conditionalFormatting sqref="C82">
    <cfRule type="expression" dxfId="44" priority="1">
      <formula>$C$76&lt;&gt;3</formula>
    </cfRule>
    <cfRule type="expression" dxfId="43" priority="2">
      <formula>$C$76&lt;&gt;3</formula>
    </cfRule>
  </conditionalFormatting>
  <dataValidations count="3">
    <dataValidation type="list" allowBlank="1" showInputMessage="1" showErrorMessage="1" sqref="C19" xr:uid="{00000000-0002-0000-0200-000000000000}">
      <formula1>"Certified,Merit,Excellent,Star"</formula1>
    </dataValidation>
    <dataValidation type="list" allowBlank="1" showInputMessage="1" showErrorMessage="1" sqref="C12 C14 C17:C18 C22 C26:C27 C30 C36:C37 C40:C41 C46:C47 C52:C53 C55:C57 C60 C71:C72 C68" xr:uid="{00000000-0002-0000-0200-000001000000}">
      <formula1>"Y,N"</formula1>
    </dataValidation>
    <dataValidation type="list" allowBlank="1" showErrorMessage="1" sqref="C76" xr:uid="{00000000-0002-0000-0200-000002000000}">
      <formula1>Step</formula1>
    </dataValidation>
  </dataValidations>
  <pageMargins left="0.23622047244094491" right="0.23622047244094491" top="0.74803149606299213" bottom="0.74803149606299213" header="0.31496062992125984" footer="0.31496062992125984"/>
  <pageSetup orientation="portrait" r:id="rId1"/>
  <headerFooter>
    <oddHeader>&amp;RGM RB: 2016 Score Card Ver. 1
(w.e.f 02 January  2019)</oddHeader>
    <oddFooter>&amp;RPage &amp;P of &amp;N</oddFooter>
  </headerFooter>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6</xdr:col>
                    <xdr:colOff>190500</xdr:colOff>
                    <xdr:row>6</xdr:row>
                    <xdr:rowOff>190500</xdr:rowOff>
                  </from>
                  <to>
                    <xdr:col>6</xdr:col>
                    <xdr:colOff>495300</xdr:colOff>
                    <xdr:row>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53"/>
  <sheetViews>
    <sheetView zoomScale="115" zoomScaleNormal="115" zoomScaleSheetLayoutView="115" workbookViewId="0">
      <selection activeCell="B17" sqref="B17"/>
    </sheetView>
  </sheetViews>
  <sheetFormatPr defaultRowHeight="10.5" x14ac:dyDescent="0.15"/>
  <cols>
    <col min="1" max="1" width="5" style="39" customWidth="1"/>
    <col min="2" max="2" width="37.42578125" style="39" customWidth="1"/>
    <col min="3" max="3" width="8.7109375" style="39" customWidth="1"/>
    <col min="4" max="4" width="7.42578125" style="39" customWidth="1"/>
    <col min="5" max="5" width="9.42578125" style="39" hidden="1" customWidth="1"/>
    <col min="6" max="8" width="13.85546875" style="39" customWidth="1"/>
    <col min="9" max="16384" width="9.140625" style="39"/>
  </cols>
  <sheetData>
    <row r="1" spans="1:8" s="61" customFormat="1" ht="16.5" customHeight="1" x14ac:dyDescent="0.2">
      <c r="A1" s="71" t="s">
        <v>86</v>
      </c>
      <c r="B1" s="72"/>
      <c r="C1" s="23"/>
      <c r="D1" s="22"/>
      <c r="E1" s="23"/>
      <c r="F1" s="73"/>
      <c r="G1" s="73"/>
      <c r="H1" s="73"/>
    </row>
    <row r="2" spans="1:8" s="61" customFormat="1" ht="12" x14ac:dyDescent="0.2">
      <c r="A2" s="14"/>
      <c r="B2" s="14"/>
      <c r="C2" s="14"/>
      <c r="D2" s="14"/>
      <c r="E2" s="14"/>
      <c r="F2" s="14"/>
      <c r="G2" s="14"/>
      <c r="H2" s="14"/>
    </row>
    <row r="3" spans="1:8" x14ac:dyDescent="0.15">
      <c r="A3" s="250" t="s">
        <v>357</v>
      </c>
      <c r="B3" s="250"/>
      <c r="C3" s="250"/>
      <c r="D3" s="14"/>
      <c r="E3" s="14"/>
      <c r="F3" s="249" t="s">
        <v>354</v>
      </c>
      <c r="G3" s="249"/>
      <c r="H3" s="249"/>
    </row>
    <row r="4" spans="1:8" ht="12" x14ac:dyDescent="0.15">
      <c r="A4" s="250"/>
      <c r="B4" s="250"/>
      <c r="C4" s="250"/>
      <c r="D4" s="14"/>
      <c r="E4" s="14"/>
      <c r="F4" s="20" t="s">
        <v>355</v>
      </c>
      <c r="G4" s="20" t="s">
        <v>356</v>
      </c>
      <c r="H4" s="31" t="s">
        <v>337</v>
      </c>
    </row>
    <row r="5" spans="1:8" ht="15.75" customHeight="1" x14ac:dyDescent="0.15">
      <c r="A5" s="32" t="s">
        <v>402</v>
      </c>
      <c r="B5" s="21" t="s">
        <v>65</v>
      </c>
      <c r="C5" s="17"/>
      <c r="D5" s="17"/>
      <c r="E5" s="106" t="b">
        <v>0</v>
      </c>
      <c r="F5" s="247"/>
      <c r="G5" s="247"/>
      <c r="H5" s="247"/>
    </row>
    <row r="6" spans="1:8" ht="15.75" customHeight="1" x14ac:dyDescent="0.15">
      <c r="A6" s="32" t="s">
        <v>403</v>
      </c>
      <c r="B6" s="21" t="s">
        <v>329</v>
      </c>
      <c r="C6" s="17"/>
      <c r="D6" s="17"/>
      <c r="E6" s="17"/>
      <c r="F6" s="103" t="str">
        <f>IF(C13="Y",(IF(C14&gt;="COP100% ≥ 3.78 and weighted COP ≥ 4.29","OK","Non-compliance")),"N/A")</f>
        <v>OK</v>
      </c>
      <c r="G6" s="103" t="str">
        <f>IF(C13="Y",(IF(C14&gt;="COP100% ≥ 4.86 and weighted COP ≥ 5.50","OK","Non-compliance")),"N/A")</f>
        <v>OK</v>
      </c>
      <c r="H6" s="103" t="str">
        <f>IF(C13="Y",(IF(C14&gt;="COP100% ≥ 4.86 and weighted COP ≥ 5.50","OK","Non-compliance")),"N/A")</f>
        <v>OK</v>
      </c>
    </row>
    <row r="7" spans="1:8" ht="15.75" customHeight="1" x14ac:dyDescent="0.15">
      <c r="A7" s="32" t="s">
        <v>404</v>
      </c>
      <c r="B7" s="21" t="s">
        <v>68</v>
      </c>
      <c r="C7" s="17"/>
      <c r="D7" s="17"/>
      <c r="E7" s="17"/>
      <c r="F7" s="102" t="str">
        <f>IF(C21&lt;&gt;0,(IF(C21&gt;=10,"OK","Non-compliance")),"Enter LPB")</f>
        <v>Enter LPB</v>
      </c>
      <c r="G7" s="102" t="str">
        <f>IF(C21&lt;&gt;0,(IF(C21&gt;=10,"OK","Non-compliance")),"Enter LPB")</f>
        <v>Enter LPB</v>
      </c>
      <c r="H7" s="102" t="str">
        <f>IF(C21&lt;&gt;0,(IF(C21&gt;=10,"OK","Non-compliance")),"Enter LPB")</f>
        <v>Enter LPB</v>
      </c>
    </row>
    <row r="8" spans="1:8" ht="15.75" customHeight="1" x14ac:dyDescent="0.15">
      <c r="A8" s="32" t="s">
        <v>405</v>
      </c>
      <c r="B8" s="21" t="s">
        <v>334</v>
      </c>
      <c r="C8" s="17"/>
      <c r="D8" s="17"/>
      <c r="E8" s="17"/>
      <c r="F8" s="102" t="str">
        <f>IF(G42=0.5,"OK","Non-compliance")</f>
        <v>Non-compliance</v>
      </c>
      <c r="G8" s="102" t="str">
        <f>IF(G42=0.5,"OK","Non-compliance")</f>
        <v>Non-compliance</v>
      </c>
      <c r="H8" s="102" t="str">
        <f>IF(G42=0.5,"OK","Non-compliance")</f>
        <v>Non-compliance</v>
      </c>
    </row>
    <row r="9" spans="1:8" x14ac:dyDescent="0.15">
      <c r="A9" s="32"/>
      <c r="B9" s="21"/>
      <c r="C9" s="19"/>
      <c r="D9" s="15"/>
      <c r="E9" s="16"/>
      <c r="F9" s="15"/>
      <c r="G9" s="16"/>
      <c r="H9" s="16"/>
    </row>
    <row r="10" spans="1:8" ht="15.75" customHeight="1" x14ac:dyDescent="0.15">
      <c r="A10" s="259">
        <v>2.1</v>
      </c>
      <c r="B10" s="258" t="s">
        <v>67</v>
      </c>
      <c r="C10" s="258"/>
      <c r="D10" s="29"/>
      <c r="E10" s="17"/>
      <c r="F10" s="257" t="s">
        <v>353</v>
      </c>
      <c r="G10" s="49" t="s">
        <v>55</v>
      </c>
      <c r="H10" s="49" t="s">
        <v>56</v>
      </c>
    </row>
    <row r="11" spans="1:8" s="61" customFormat="1" ht="12" x14ac:dyDescent="0.2">
      <c r="A11" s="259"/>
      <c r="B11" s="258"/>
      <c r="C11" s="258"/>
      <c r="D11" s="22"/>
      <c r="E11" s="59"/>
      <c r="F11" s="257"/>
      <c r="G11" s="75">
        <f>SUM(G19,G22,G32)</f>
        <v>5.5</v>
      </c>
      <c r="H11" s="49">
        <v>12</v>
      </c>
    </row>
    <row r="12" spans="1:8" x14ac:dyDescent="0.15">
      <c r="A12" s="74" t="s">
        <v>406</v>
      </c>
      <c r="B12" s="21" t="s">
        <v>66</v>
      </c>
      <c r="C12" s="17"/>
      <c r="D12" s="17"/>
      <c r="E12" s="17"/>
      <c r="F12" s="17"/>
      <c r="G12" s="17"/>
      <c r="H12" s="17"/>
    </row>
    <row r="13" spans="1:8" x14ac:dyDescent="0.15">
      <c r="A13" s="74"/>
      <c r="B13" s="21" t="s">
        <v>90</v>
      </c>
      <c r="C13" s="50" t="s">
        <v>493</v>
      </c>
      <c r="D13" s="17" t="s">
        <v>358</v>
      </c>
      <c r="E13" s="17"/>
      <c r="F13" s="17"/>
      <c r="G13" s="17"/>
      <c r="H13" s="246">
        <v>6</v>
      </c>
    </row>
    <row r="14" spans="1:8" ht="21" x14ac:dyDescent="0.15">
      <c r="A14" s="74"/>
      <c r="B14" s="21" t="s">
        <v>504</v>
      </c>
      <c r="C14" s="50" t="s">
        <v>503</v>
      </c>
      <c r="D14" s="76" t="s">
        <v>361</v>
      </c>
      <c r="E14" s="186" t="str">
        <f>IF(C13="Y",(IF(C14="COP100% ≥ 4.29 and weighted COP ≥ 4.86","3","0")))</f>
        <v>0</v>
      </c>
      <c r="F14" s="17"/>
      <c r="G14" s="17">
        <f>E14+E15</f>
        <v>5</v>
      </c>
      <c r="H14" s="246"/>
    </row>
    <row r="15" spans="1:8" x14ac:dyDescent="0.15">
      <c r="A15" s="74"/>
      <c r="B15" s="21"/>
      <c r="C15" s="17"/>
      <c r="D15" s="76"/>
      <c r="E15" s="186" t="str">
        <f>IF(C13="Y",(IF(C14&gt;="COP100% ≥ 4.86 and weighted COP ≥ 5.50","5","0")),"0")</f>
        <v>5</v>
      </c>
      <c r="F15" s="17"/>
      <c r="G15" s="16"/>
      <c r="H15" s="246"/>
    </row>
    <row r="16" spans="1:8" x14ac:dyDescent="0.15">
      <c r="A16" s="74"/>
      <c r="B16" s="21" t="s">
        <v>91</v>
      </c>
      <c r="C16" s="50"/>
      <c r="D16" s="17" t="s">
        <v>358</v>
      </c>
      <c r="E16" s="17">
        <f>IF(C16="Y",1,0)</f>
        <v>0</v>
      </c>
      <c r="F16" s="17"/>
      <c r="G16" s="248">
        <f>IF(SUM(E16:E18)&gt;=1,1,SUM(E16:E18))</f>
        <v>0.5</v>
      </c>
      <c r="H16" s="246"/>
    </row>
    <row r="17" spans="1:8" x14ac:dyDescent="0.15">
      <c r="A17" s="74"/>
      <c r="B17" s="55" t="s">
        <v>1</v>
      </c>
      <c r="C17" s="17"/>
      <c r="D17" s="17"/>
      <c r="E17" s="17"/>
      <c r="F17" s="17"/>
      <c r="G17" s="248"/>
      <c r="H17" s="246"/>
    </row>
    <row r="18" spans="1:8" ht="31.5" x14ac:dyDescent="0.15">
      <c r="A18" s="74"/>
      <c r="B18" s="21" t="s">
        <v>89</v>
      </c>
      <c r="C18" s="50" t="s">
        <v>493</v>
      </c>
      <c r="D18" s="17" t="s">
        <v>358</v>
      </c>
      <c r="E18" s="17">
        <f>IF(C18="Y",0.5,0)</f>
        <v>0.5</v>
      </c>
      <c r="F18" s="17"/>
      <c r="G18" s="248"/>
      <c r="H18" s="246"/>
    </row>
    <row r="19" spans="1:8" x14ac:dyDescent="0.15">
      <c r="A19" s="74"/>
      <c r="B19" s="21"/>
      <c r="C19" s="17"/>
      <c r="D19" s="17"/>
      <c r="E19" s="17"/>
      <c r="F19" s="77" t="s">
        <v>442</v>
      </c>
      <c r="G19" s="78">
        <f>IF(C13="Y",SUM(G14,G16),'1.Climatic Responsive Design'!G87/7*5)</f>
        <v>5.5</v>
      </c>
      <c r="H19" s="17"/>
    </row>
    <row r="20" spans="1:8" x14ac:dyDescent="0.15">
      <c r="A20" s="74" t="s">
        <v>407</v>
      </c>
      <c r="B20" s="21" t="s">
        <v>68</v>
      </c>
      <c r="C20" s="17"/>
      <c r="D20" s="17"/>
      <c r="E20" s="17"/>
      <c r="F20" s="17"/>
      <c r="G20" s="17"/>
      <c r="H20" s="17"/>
    </row>
    <row r="21" spans="1:8" x14ac:dyDescent="0.15">
      <c r="A21" s="74"/>
      <c r="B21" s="21" t="s">
        <v>69</v>
      </c>
      <c r="C21" s="50"/>
      <c r="D21" s="17" t="s">
        <v>360</v>
      </c>
      <c r="E21" s="17">
        <f>IF(C21&gt;10,(0.12*(C21-10)),0)</f>
        <v>0</v>
      </c>
      <c r="F21" s="17"/>
      <c r="G21" s="63">
        <f>IF(E21&gt;=4,4,E21)</f>
        <v>0</v>
      </c>
      <c r="H21" s="36">
        <v>4</v>
      </c>
    </row>
    <row r="22" spans="1:8" x14ac:dyDescent="0.15">
      <c r="A22" s="74"/>
      <c r="B22" s="21"/>
      <c r="C22" s="17"/>
      <c r="D22" s="17"/>
      <c r="E22" s="17"/>
      <c r="F22" s="77" t="s">
        <v>443</v>
      </c>
      <c r="G22" s="78">
        <f>SUM(G21)</f>
        <v>0</v>
      </c>
      <c r="H22" s="17"/>
    </row>
    <row r="23" spans="1:8" x14ac:dyDescent="0.15">
      <c r="A23" s="74" t="s">
        <v>408</v>
      </c>
      <c r="C23" s="17"/>
      <c r="D23" s="17"/>
      <c r="E23" s="17"/>
      <c r="F23" s="17"/>
      <c r="G23" s="17"/>
      <c r="H23" s="17"/>
    </row>
    <row r="24" spans="1:8" x14ac:dyDescent="0.15">
      <c r="B24" s="21" t="s">
        <v>70</v>
      </c>
      <c r="F24" s="17"/>
      <c r="G24" s="248">
        <f>IF(E26=FALSE,0,(IF((SUM(C26,C29,C30)&lt;&gt;100),"Error in %",(IF(SUM(E25,E28,E30)&gt;=2,2,SUM(E25,E28,E30))))))</f>
        <v>0</v>
      </c>
      <c r="H24" s="246">
        <v>2</v>
      </c>
    </row>
    <row r="25" spans="1:8" x14ac:dyDescent="0.15">
      <c r="A25" s="74" t="s">
        <v>71</v>
      </c>
      <c r="B25" s="37" t="s">
        <v>72</v>
      </c>
      <c r="C25" s="50"/>
      <c r="D25" s="17" t="s">
        <v>358</v>
      </c>
      <c r="E25" s="17">
        <f>IF(C25="Y",C26/100*2,0)</f>
        <v>0</v>
      </c>
      <c r="F25" s="17"/>
      <c r="G25" s="248"/>
      <c r="H25" s="246"/>
    </row>
    <row r="26" spans="1:8" x14ac:dyDescent="0.15">
      <c r="B26" s="18"/>
      <c r="C26" s="50"/>
      <c r="D26" s="17" t="s">
        <v>360</v>
      </c>
      <c r="E26" s="17" t="b">
        <f>OR(C25="Y",C25="N",C28="Y",C28="N")</f>
        <v>0</v>
      </c>
      <c r="F26" s="17"/>
      <c r="G26" s="248"/>
      <c r="H26" s="246"/>
    </row>
    <row r="27" spans="1:8" x14ac:dyDescent="0.15">
      <c r="A27" s="74"/>
      <c r="F27" s="17"/>
      <c r="G27" s="248"/>
      <c r="H27" s="246"/>
    </row>
    <row r="28" spans="1:8" x14ac:dyDescent="0.15">
      <c r="A28" s="74" t="s">
        <v>73</v>
      </c>
      <c r="B28" s="66" t="s">
        <v>372</v>
      </c>
      <c r="C28" s="50"/>
      <c r="D28" s="17" t="s">
        <v>358</v>
      </c>
      <c r="E28" s="17">
        <f>IF(C28="Y",C29/100*1.5,0)</f>
        <v>0</v>
      </c>
      <c r="F28" s="17"/>
      <c r="G28" s="248"/>
      <c r="H28" s="246"/>
    </row>
    <row r="29" spans="1:8" x14ac:dyDescent="0.15">
      <c r="A29" s="74"/>
      <c r="B29" s="53" t="s">
        <v>74</v>
      </c>
      <c r="C29" s="50"/>
      <c r="D29" s="17" t="s">
        <v>360</v>
      </c>
      <c r="E29" s="17"/>
      <c r="F29" s="17"/>
      <c r="G29" s="248"/>
      <c r="H29" s="246"/>
    </row>
    <row r="30" spans="1:8" x14ac:dyDescent="0.15">
      <c r="B30" s="53" t="s">
        <v>75</v>
      </c>
      <c r="C30" s="50"/>
      <c r="D30" s="17" t="s">
        <v>360</v>
      </c>
      <c r="E30" s="17">
        <f>IF(C28="Y",C30/100*1,0)</f>
        <v>0</v>
      </c>
      <c r="F30" s="17"/>
      <c r="G30" s="248"/>
      <c r="H30" s="246"/>
    </row>
    <row r="31" spans="1:8" x14ac:dyDescent="0.15">
      <c r="A31" s="74"/>
      <c r="C31" s="38"/>
      <c r="D31" s="17"/>
      <c r="F31" s="17"/>
      <c r="G31" s="248"/>
      <c r="H31" s="246"/>
    </row>
    <row r="32" spans="1:8" x14ac:dyDescent="0.15">
      <c r="A32" s="74"/>
      <c r="B32" s="21"/>
      <c r="C32" s="17"/>
      <c r="D32" s="17"/>
      <c r="E32" s="17"/>
      <c r="F32" s="77" t="s">
        <v>444</v>
      </c>
      <c r="G32" s="29">
        <f>G24</f>
        <v>0</v>
      </c>
    </row>
    <row r="33" spans="1:8" x14ac:dyDescent="0.15">
      <c r="A33" s="74"/>
      <c r="B33" s="21"/>
      <c r="C33" s="17"/>
      <c r="D33" s="17"/>
      <c r="E33" s="17"/>
      <c r="F33" s="17"/>
      <c r="G33" s="17"/>
      <c r="H33" s="17"/>
    </row>
    <row r="34" spans="1:8" s="61" customFormat="1" ht="12" x14ac:dyDescent="0.2">
      <c r="A34" s="80">
        <v>2.2000000000000002</v>
      </c>
      <c r="B34" s="81" t="s">
        <v>76</v>
      </c>
      <c r="C34" s="73"/>
      <c r="D34" s="82"/>
      <c r="E34" s="59"/>
      <c r="F34" s="28"/>
      <c r="G34" s="47">
        <f>SUM(G39)</f>
        <v>0</v>
      </c>
      <c r="H34" s="47">
        <v>5</v>
      </c>
    </row>
    <row r="35" spans="1:8" x14ac:dyDescent="0.15">
      <c r="A35" s="74" t="s">
        <v>409</v>
      </c>
      <c r="B35" s="32" t="s">
        <v>77</v>
      </c>
      <c r="C35" s="17"/>
      <c r="D35" s="17"/>
      <c r="E35" s="17"/>
      <c r="F35" s="17"/>
      <c r="G35" s="17"/>
      <c r="H35" s="17"/>
    </row>
    <row r="36" spans="1:8" ht="21" x14ac:dyDescent="0.15">
      <c r="A36" s="74"/>
      <c r="B36" s="21" t="s">
        <v>93</v>
      </c>
      <c r="C36" s="17"/>
      <c r="D36" s="17"/>
      <c r="E36" s="17"/>
      <c r="F36" s="17"/>
      <c r="G36" s="17"/>
      <c r="H36" s="17"/>
    </row>
    <row r="37" spans="1:8" x14ac:dyDescent="0.15">
      <c r="A37" s="74"/>
      <c r="B37" s="21" t="s">
        <v>94</v>
      </c>
      <c r="C37" s="50"/>
      <c r="D37" s="17" t="s">
        <v>359</v>
      </c>
      <c r="E37" s="17">
        <f>C37*1</f>
        <v>0</v>
      </c>
      <c r="F37" s="17"/>
      <c r="G37" s="248">
        <f>IF(SUM(E37:E38)&gt;=5,5,SUM(E37:E38))</f>
        <v>0</v>
      </c>
      <c r="H37" s="246">
        <v>5</v>
      </c>
    </row>
    <row r="38" spans="1:8" x14ac:dyDescent="0.15">
      <c r="A38" s="74"/>
      <c r="B38" s="21" t="s">
        <v>95</v>
      </c>
      <c r="C38" s="50"/>
      <c r="D38" s="17" t="s">
        <v>359</v>
      </c>
      <c r="E38" s="17">
        <f>C38*0.5</f>
        <v>0</v>
      </c>
      <c r="F38" s="17"/>
      <c r="G38" s="248"/>
      <c r="H38" s="246"/>
    </row>
    <row r="39" spans="1:8" x14ac:dyDescent="0.15">
      <c r="A39" s="74"/>
      <c r="B39" s="21"/>
      <c r="C39" s="17"/>
      <c r="D39" s="17"/>
      <c r="E39" s="17"/>
      <c r="F39" s="77" t="s">
        <v>445</v>
      </c>
      <c r="G39" s="29">
        <f>G37</f>
        <v>0</v>
      </c>
    </row>
    <row r="40" spans="1:8" x14ac:dyDescent="0.15">
      <c r="A40" s="74"/>
      <c r="B40" s="21"/>
      <c r="C40" s="17"/>
      <c r="D40" s="17"/>
      <c r="E40" s="17"/>
      <c r="G40" s="17"/>
      <c r="H40" s="17"/>
    </row>
    <row r="41" spans="1:8" s="61" customFormat="1" ht="12" x14ac:dyDescent="0.2">
      <c r="A41" s="80">
        <v>2.2999999999999998</v>
      </c>
      <c r="B41" s="72" t="s">
        <v>78</v>
      </c>
      <c r="C41" s="73"/>
      <c r="D41" s="82"/>
      <c r="E41" s="59"/>
      <c r="F41" s="28"/>
      <c r="G41" s="47">
        <f>SUM(G43,G48,G51)</f>
        <v>0</v>
      </c>
      <c r="H41" s="47">
        <v>8</v>
      </c>
    </row>
    <row r="42" spans="1:8" x14ac:dyDescent="0.15">
      <c r="A42" s="74" t="s">
        <v>446</v>
      </c>
      <c r="B42" s="21" t="s">
        <v>79</v>
      </c>
      <c r="C42" s="50"/>
      <c r="D42" s="17" t="s">
        <v>358</v>
      </c>
      <c r="E42" s="17"/>
      <c r="F42" s="17"/>
      <c r="G42" s="17">
        <f>IF(C42="Y",0.5,0)</f>
        <v>0</v>
      </c>
      <c r="H42" s="36">
        <v>0.5</v>
      </c>
    </row>
    <row r="43" spans="1:8" x14ac:dyDescent="0.15">
      <c r="A43" s="74"/>
      <c r="B43" s="21"/>
      <c r="C43" s="17"/>
      <c r="D43" s="17"/>
      <c r="E43" s="17"/>
      <c r="F43" s="77" t="s">
        <v>448</v>
      </c>
      <c r="G43" s="29">
        <f>G42</f>
        <v>0</v>
      </c>
      <c r="H43" s="17"/>
    </row>
    <row r="44" spans="1:8" x14ac:dyDescent="0.15">
      <c r="A44" s="74" t="s">
        <v>447</v>
      </c>
      <c r="B44" s="21" t="s">
        <v>80</v>
      </c>
      <c r="C44" s="17"/>
      <c r="D44" s="17"/>
      <c r="E44" s="17"/>
      <c r="F44" s="17"/>
      <c r="G44" s="17"/>
      <c r="H44" s="17"/>
    </row>
    <row r="45" spans="1:8" x14ac:dyDescent="0.15">
      <c r="A45" s="74"/>
      <c r="B45" s="21" t="s">
        <v>81</v>
      </c>
      <c r="C45" s="50"/>
      <c r="D45" s="17" t="s">
        <v>358</v>
      </c>
      <c r="E45" s="17">
        <f>IF(C45="Y",0.5,0)</f>
        <v>0</v>
      </c>
      <c r="F45" s="17"/>
      <c r="G45" s="248">
        <f>IF(SUM(E45:E47)&gt;=1.5,1.5,SUM(E45:E47))</f>
        <v>0</v>
      </c>
      <c r="H45" s="246">
        <v>1.5</v>
      </c>
    </row>
    <row r="46" spans="1:8" x14ac:dyDescent="0.15">
      <c r="A46" s="74"/>
      <c r="B46" s="21" t="s">
        <v>82</v>
      </c>
      <c r="C46" s="50"/>
      <c r="D46" s="17" t="s">
        <v>358</v>
      </c>
      <c r="E46" s="17">
        <f>IF(C46="Y",0.5,0)</f>
        <v>0</v>
      </c>
      <c r="F46" s="17"/>
      <c r="G46" s="248"/>
      <c r="H46" s="246"/>
    </row>
    <row r="47" spans="1:8" x14ac:dyDescent="0.15">
      <c r="A47" s="74"/>
      <c r="B47" s="21" t="s">
        <v>83</v>
      </c>
      <c r="C47" s="50"/>
      <c r="D47" s="17" t="s">
        <v>358</v>
      </c>
      <c r="E47" s="17">
        <f>IF(C47="Y",0.5,0)</f>
        <v>0</v>
      </c>
      <c r="F47" s="17"/>
      <c r="G47" s="248"/>
      <c r="H47" s="246"/>
    </row>
    <row r="48" spans="1:8" x14ac:dyDescent="0.15">
      <c r="A48" s="74"/>
      <c r="B48" s="21"/>
      <c r="C48" s="17"/>
      <c r="D48" s="17"/>
      <c r="E48" s="17"/>
      <c r="F48" s="77" t="s">
        <v>449</v>
      </c>
      <c r="G48" s="29">
        <f>G45</f>
        <v>0</v>
      </c>
      <c r="H48" s="17"/>
    </row>
    <row r="49" spans="1:8" x14ac:dyDescent="0.15">
      <c r="A49" s="74" t="s">
        <v>412</v>
      </c>
      <c r="B49" s="21" t="s">
        <v>84</v>
      </c>
      <c r="C49" s="17"/>
      <c r="D49" s="17"/>
      <c r="E49" s="17"/>
      <c r="F49" s="17"/>
      <c r="G49" s="17"/>
      <c r="H49" s="17"/>
    </row>
    <row r="50" spans="1:8" x14ac:dyDescent="0.15">
      <c r="B50" s="18" t="s">
        <v>85</v>
      </c>
      <c r="C50" s="50"/>
      <c r="D50" s="17" t="s">
        <v>360</v>
      </c>
      <c r="E50" s="17">
        <f>C50*1</f>
        <v>0</v>
      </c>
      <c r="F50" s="17"/>
      <c r="G50" s="17">
        <f>IF(E50&gt;=6,6,E50)</f>
        <v>0</v>
      </c>
      <c r="H50" s="36">
        <v>6</v>
      </c>
    </row>
    <row r="51" spans="1:8" x14ac:dyDescent="0.15">
      <c r="B51" s="18"/>
      <c r="C51" s="17"/>
      <c r="D51" s="17"/>
      <c r="E51" s="17"/>
      <c r="F51" s="77" t="s">
        <v>450</v>
      </c>
      <c r="G51" s="29">
        <f>G50</f>
        <v>0</v>
      </c>
      <c r="H51" s="17"/>
    </row>
    <row r="53" spans="1:8" x14ac:dyDescent="0.15">
      <c r="A53" s="260"/>
      <c r="B53" s="260"/>
      <c r="C53" s="260"/>
      <c r="D53" s="260"/>
      <c r="E53" s="260"/>
      <c r="F53" s="260"/>
      <c r="G53" s="260"/>
      <c r="H53" s="260"/>
    </row>
  </sheetData>
  <sheetProtection algorithmName="SHA-512" hashValue="4Fk8DVhyt5DIblY35itNpUI1/S4CAreQWcYKtE+X5qNTKKXtVXA+pc1GsIG50dXcqsoz5cuP+bRLzxCd5c+eig==" saltValue="agcN2XYjKzxjBCqAjs5Z9w==" spinCount="100000" sheet="1"/>
  <protectedRanges>
    <protectedRange sqref="C16 C21 C50 C18 C37:C38 C42 C45:C47 C13:C14 C25:C26 C28:C30" name="input2"/>
  </protectedRanges>
  <mergeCells count="15">
    <mergeCell ref="A53:H53"/>
    <mergeCell ref="H37:H38"/>
    <mergeCell ref="H45:H47"/>
    <mergeCell ref="G16:G18"/>
    <mergeCell ref="G24:G31"/>
    <mergeCell ref="G37:G38"/>
    <mergeCell ref="G45:G47"/>
    <mergeCell ref="H24:H31"/>
    <mergeCell ref="H13:H18"/>
    <mergeCell ref="F3:H3"/>
    <mergeCell ref="F10:F11"/>
    <mergeCell ref="B10:C11"/>
    <mergeCell ref="A10:A11"/>
    <mergeCell ref="A3:C4"/>
    <mergeCell ref="F5:H5"/>
  </mergeCells>
  <conditionalFormatting sqref="C14 C16 C18">
    <cfRule type="expression" dxfId="42" priority="15">
      <formula>$C$13&lt;&gt;"Y"</formula>
    </cfRule>
  </conditionalFormatting>
  <conditionalFormatting sqref="D14 D16 D18">
    <cfRule type="expression" dxfId="41" priority="14">
      <formula>$C$13&lt;&gt;"Y"</formula>
    </cfRule>
  </conditionalFormatting>
  <conditionalFormatting sqref="F5:H5">
    <cfRule type="expression" dxfId="40" priority="13">
      <formula>E5=TRUE</formula>
    </cfRule>
  </conditionalFormatting>
  <conditionalFormatting sqref="F7">
    <cfRule type="expression" dxfId="39" priority="12">
      <formula>$F$7="OK"</formula>
    </cfRule>
  </conditionalFormatting>
  <conditionalFormatting sqref="G7">
    <cfRule type="expression" dxfId="38" priority="11">
      <formula>$G$7="OK"</formula>
    </cfRule>
  </conditionalFormatting>
  <conditionalFormatting sqref="H7">
    <cfRule type="expression" dxfId="37" priority="10">
      <formula>$H$7="OK"</formula>
    </cfRule>
  </conditionalFormatting>
  <conditionalFormatting sqref="F8">
    <cfRule type="expression" dxfId="36" priority="9">
      <formula>$F$8="OK"</formula>
    </cfRule>
  </conditionalFormatting>
  <conditionalFormatting sqref="G8">
    <cfRule type="expression" dxfId="35" priority="8">
      <formula>$G$8="OK"</formula>
    </cfRule>
  </conditionalFormatting>
  <conditionalFormatting sqref="H8">
    <cfRule type="expression" dxfId="34" priority="7">
      <formula>$H$8="OK"</formula>
    </cfRule>
  </conditionalFormatting>
  <conditionalFormatting sqref="F6">
    <cfRule type="expression" dxfId="33" priority="5">
      <formula>$F$6="Non-compliance"</formula>
    </cfRule>
    <cfRule type="expression" dxfId="32" priority="6">
      <formula>$F$6="OK"</formula>
    </cfRule>
  </conditionalFormatting>
  <conditionalFormatting sqref="G6">
    <cfRule type="expression" dxfId="31" priority="3">
      <formula>$G$6="Non-compliance"</formula>
    </cfRule>
    <cfRule type="expression" dxfId="30" priority="4">
      <formula>$G$6="OK"</formula>
    </cfRule>
  </conditionalFormatting>
  <conditionalFormatting sqref="H6">
    <cfRule type="expression" dxfId="29" priority="1">
      <formula>$H$6="Non-compliance"</formula>
    </cfRule>
    <cfRule type="expression" dxfId="28" priority="2">
      <formula>$H$6="OK"</formula>
    </cfRule>
  </conditionalFormatting>
  <dataValidations count="2">
    <dataValidation type="list" allowBlank="1" showInputMessage="1" showErrorMessage="1" sqref="C16 C18 C25 C13 C45:C47 C42 C28" xr:uid="{00000000-0002-0000-0300-000000000000}">
      <formula1>"Y,N"</formula1>
    </dataValidation>
    <dataValidation type="list" allowBlank="1" showInputMessage="1" showErrorMessage="1" promptTitle="Select" sqref="C14" xr:uid="{00000000-0002-0000-0300-000001000000}">
      <formula1>"0,COP100% ≥ 3.78 and weighted COP ≥ 4.29,COP100% ≥ 4.29 and weighted COP ≥ 4.86,COP100% ≥ 4.86 and weighted COP ≥ 5.50"</formula1>
    </dataValidation>
  </dataValidations>
  <pageMargins left="0.23622047244094491" right="0.23622047244094491" top="0.74803149606299213" bottom="0.74803149606299213" header="0.31496062992125984" footer="0.31496062992125984"/>
  <pageSetup orientation="portrait" r:id="rId1"/>
  <headerFooter>
    <oddHeader>&amp;RGM RB: 2016 Score Card Ver. 1
(w.e.f 02 January  2019)</oddHeader>
    <oddFooter>&amp;RPage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from>
                    <xdr:col>6</xdr:col>
                    <xdr:colOff>323850</xdr:colOff>
                    <xdr:row>3</xdr:row>
                    <xdr:rowOff>152400</xdr:rowOff>
                  </from>
                  <to>
                    <xdr:col>6</xdr:col>
                    <xdr:colOff>628650</xdr:colOff>
                    <xdr:row>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113"/>
  <sheetViews>
    <sheetView tabSelected="1" topLeftCell="A19" zoomScale="160" zoomScaleNormal="160" zoomScaleSheetLayoutView="130" workbookViewId="0">
      <selection activeCell="C33" sqref="C33"/>
    </sheetView>
  </sheetViews>
  <sheetFormatPr defaultRowHeight="10.5" x14ac:dyDescent="0.15"/>
  <cols>
    <col min="1" max="1" width="5" style="39" customWidth="1"/>
    <col min="2" max="2" width="37.42578125" style="39" customWidth="1"/>
    <col min="3" max="3" width="8.7109375" style="39" customWidth="1"/>
    <col min="4" max="4" width="7.28515625" style="39" customWidth="1"/>
    <col min="5" max="5" width="0.5703125" style="39" hidden="1" customWidth="1"/>
    <col min="6" max="8" width="13.85546875" style="39" customWidth="1"/>
    <col min="9" max="16384" width="9.140625" style="39"/>
  </cols>
  <sheetData>
    <row r="1" spans="1:8" s="61" customFormat="1" ht="17.25" customHeight="1" x14ac:dyDescent="0.2">
      <c r="A1" s="83" t="s">
        <v>123</v>
      </c>
      <c r="B1" s="84"/>
      <c r="C1" s="26"/>
      <c r="D1" s="27"/>
      <c r="E1" s="26"/>
      <c r="F1" s="85"/>
      <c r="G1" s="85"/>
      <c r="H1" s="85"/>
    </row>
    <row r="2" spans="1:8" s="61" customFormat="1" ht="12" x14ac:dyDescent="0.2">
      <c r="A2" s="14"/>
      <c r="B2" s="14"/>
      <c r="C2" s="14"/>
      <c r="D2" s="14"/>
      <c r="E2" s="14"/>
      <c r="F2" s="14"/>
      <c r="G2" s="14"/>
      <c r="H2" s="14"/>
    </row>
    <row r="3" spans="1:8" x14ac:dyDescent="0.15">
      <c r="A3" s="250" t="s">
        <v>357</v>
      </c>
      <c r="B3" s="250"/>
      <c r="C3" s="250"/>
      <c r="D3" s="14"/>
      <c r="E3" s="14"/>
      <c r="F3" s="249" t="s">
        <v>354</v>
      </c>
      <c r="G3" s="249"/>
      <c r="H3" s="249"/>
    </row>
    <row r="4" spans="1:8" ht="12" x14ac:dyDescent="0.15">
      <c r="A4" s="250"/>
      <c r="B4" s="250"/>
      <c r="C4" s="250"/>
      <c r="D4" s="14"/>
      <c r="E4" s="14"/>
      <c r="F4" s="20" t="s">
        <v>355</v>
      </c>
      <c r="G4" s="20" t="s">
        <v>356</v>
      </c>
      <c r="H4" s="31" t="s">
        <v>337</v>
      </c>
    </row>
    <row r="5" spans="1:8" ht="15" customHeight="1" x14ac:dyDescent="0.15">
      <c r="A5" s="32" t="s">
        <v>413</v>
      </c>
      <c r="B5" s="21" t="s">
        <v>341</v>
      </c>
      <c r="C5" s="17"/>
      <c r="D5" s="17"/>
      <c r="E5" s="106" t="b">
        <v>0</v>
      </c>
      <c r="F5" s="264"/>
      <c r="G5" s="264"/>
      <c r="H5" s="264"/>
    </row>
    <row r="6" spans="1:8" ht="15" customHeight="1" x14ac:dyDescent="0.15">
      <c r="A6" s="32" t="s">
        <v>124</v>
      </c>
      <c r="B6" s="21" t="s">
        <v>96</v>
      </c>
      <c r="C6" s="17"/>
      <c r="D6" s="17"/>
      <c r="E6" s="17"/>
      <c r="F6" s="102" t="str">
        <f>IF(G55&gt;=0.5,"OK","Non-compliance")</f>
        <v>Non-compliance</v>
      </c>
      <c r="G6" s="102" t="str">
        <f>IF(G55&gt;=2,"OK","Non-compliance")</f>
        <v>Non-compliance</v>
      </c>
      <c r="H6" s="102" t="str">
        <f>IF(G55&gt;=3.5,"OK","Non-compliance")</f>
        <v>Non-compliance</v>
      </c>
    </row>
    <row r="7" spans="1:8" ht="15" customHeight="1" x14ac:dyDescent="0.15">
      <c r="A7" s="32" t="s">
        <v>314</v>
      </c>
      <c r="B7" s="21" t="s">
        <v>97</v>
      </c>
      <c r="C7" s="17"/>
      <c r="D7" s="17"/>
      <c r="E7" s="17"/>
      <c r="F7" s="103" t="s">
        <v>364</v>
      </c>
      <c r="G7" s="102" t="str">
        <f>IF(C57="Y","OK","Non-compliance")</f>
        <v>Non-compliance</v>
      </c>
      <c r="H7" s="102" t="str">
        <f>IF(C57="Y","OK","Non-compliance")</f>
        <v>Non-compliance</v>
      </c>
    </row>
    <row r="8" spans="1:8" ht="15" customHeight="1" x14ac:dyDescent="0.15">
      <c r="A8" s="32" t="s">
        <v>317</v>
      </c>
      <c r="B8" s="21" t="s">
        <v>98</v>
      </c>
      <c r="C8" s="17"/>
      <c r="D8" s="17"/>
      <c r="E8" s="17"/>
      <c r="F8" s="102" t="str">
        <f>IF(G100&gt;=2,"OK","Non-compliance")</f>
        <v>Non-compliance</v>
      </c>
      <c r="G8" s="102" t="str">
        <f>IF(G100&gt;=3,"OK","Non-compliance")</f>
        <v>Non-compliance</v>
      </c>
      <c r="H8" s="102" t="str">
        <f>IF(G100&gt;=4,"OK","Non-compliance")</f>
        <v>Non-compliance</v>
      </c>
    </row>
    <row r="9" spans="1:8" x14ac:dyDescent="0.15">
      <c r="A9" s="32"/>
      <c r="B9" s="21"/>
      <c r="C9" s="19"/>
      <c r="D9" s="15"/>
      <c r="E9" s="16"/>
      <c r="F9" s="15"/>
      <c r="G9" s="16"/>
      <c r="H9" s="16"/>
    </row>
    <row r="10" spans="1:8" ht="15.75" customHeight="1" x14ac:dyDescent="0.15">
      <c r="A10" s="263">
        <v>3.1</v>
      </c>
      <c r="B10" s="262" t="s">
        <v>99</v>
      </c>
      <c r="C10" s="262"/>
      <c r="D10" s="24"/>
      <c r="E10" s="17"/>
      <c r="F10" s="257" t="s">
        <v>353</v>
      </c>
      <c r="G10" s="49" t="s">
        <v>55</v>
      </c>
      <c r="H10" s="49" t="s">
        <v>56</v>
      </c>
    </row>
    <row r="11" spans="1:8" s="61" customFormat="1" ht="12" x14ac:dyDescent="0.2">
      <c r="A11" s="263"/>
      <c r="B11" s="262"/>
      <c r="C11" s="262"/>
      <c r="D11" s="25"/>
      <c r="E11" s="59"/>
      <c r="F11" s="257"/>
      <c r="G11" s="280">
        <f>SUM(G23,G28,G34)</f>
        <v>0</v>
      </c>
      <c r="H11" s="86">
        <v>13</v>
      </c>
    </row>
    <row r="12" spans="1:8" x14ac:dyDescent="0.15">
      <c r="A12" s="32" t="s">
        <v>414</v>
      </c>
      <c r="B12" s="21" t="s">
        <v>100</v>
      </c>
      <c r="C12" s="17"/>
      <c r="D12" s="17"/>
      <c r="E12" s="17"/>
      <c r="F12" s="16"/>
      <c r="G12" s="17"/>
      <c r="H12" s="16"/>
    </row>
    <row r="13" spans="1:8" x14ac:dyDescent="0.15">
      <c r="A13" s="32"/>
      <c r="B13" s="21"/>
      <c r="C13" s="17"/>
      <c r="D13" s="17"/>
      <c r="E13" s="17"/>
      <c r="F13" s="16"/>
      <c r="G13" s="17"/>
      <c r="H13" s="16"/>
    </row>
    <row r="14" spans="1:8" ht="21" x14ac:dyDescent="0.15">
      <c r="A14" s="32" t="s">
        <v>23</v>
      </c>
      <c r="B14" s="79" t="s">
        <v>101</v>
      </c>
      <c r="C14" s="17"/>
      <c r="D14" s="17"/>
      <c r="E14" s="17"/>
      <c r="F14" s="17"/>
      <c r="G14" s="87"/>
      <c r="H14" s="87"/>
    </row>
    <row r="15" spans="1:8" x14ac:dyDescent="0.15">
      <c r="A15" s="32"/>
      <c r="B15" s="88" t="s">
        <v>245</v>
      </c>
      <c r="C15" s="50">
        <v>0</v>
      </c>
      <c r="D15" s="17" t="s">
        <v>359</v>
      </c>
      <c r="E15" s="17">
        <f>C15*6</f>
        <v>0</v>
      </c>
      <c r="F15" s="17"/>
      <c r="G15" s="261">
        <f>IF(C18&gt;0,(IF((SUM(E15:E17)/C18)&gt;=7,7,(SUM(E15:E17)/C18))),0)</f>
        <v>0</v>
      </c>
      <c r="H15" s="246">
        <v>7</v>
      </c>
    </row>
    <row r="16" spans="1:8" x14ac:dyDescent="0.15">
      <c r="A16" s="32"/>
      <c r="B16" s="88" t="s">
        <v>246</v>
      </c>
      <c r="C16" s="50"/>
      <c r="D16" s="17" t="s">
        <v>359</v>
      </c>
      <c r="E16" s="17">
        <f>C16*7</f>
        <v>0</v>
      </c>
      <c r="F16" s="17"/>
      <c r="G16" s="261"/>
      <c r="H16" s="246"/>
    </row>
    <row r="17" spans="1:8" x14ac:dyDescent="0.15">
      <c r="A17" s="32"/>
      <c r="B17" s="88" t="s">
        <v>248</v>
      </c>
      <c r="C17" s="50"/>
      <c r="D17" s="17" t="s">
        <v>359</v>
      </c>
      <c r="E17" s="17">
        <f>C17*0</f>
        <v>0</v>
      </c>
      <c r="F17" s="17"/>
      <c r="G17" s="261"/>
      <c r="H17" s="246"/>
    </row>
    <row r="18" spans="1:8" x14ac:dyDescent="0.15">
      <c r="A18" s="32"/>
      <c r="B18" s="89" t="s">
        <v>247</v>
      </c>
      <c r="C18" s="90">
        <f>C15+C16+C17</f>
        <v>0</v>
      </c>
      <c r="D18" s="17"/>
      <c r="E18" s="17"/>
      <c r="F18" s="63"/>
      <c r="G18" s="63"/>
      <c r="H18" s="16"/>
    </row>
    <row r="19" spans="1:8" x14ac:dyDescent="0.15">
      <c r="A19" s="32"/>
      <c r="B19" s="21"/>
      <c r="C19" s="17"/>
      <c r="D19" s="17"/>
      <c r="E19" s="17"/>
      <c r="F19" s="16"/>
      <c r="G19" s="17"/>
      <c r="H19" s="16"/>
    </row>
    <row r="20" spans="1:8" ht="21" x14ac:dyDescent="0.15">
      <c r="A20" s="32" t="s">
        <v>25</v>
      </c>
      <c r="B20" s="21" t="s">
        <v>102</v>
      </c>
      <c r="C20" s="50">
        <v>0</v>
      </c>
      <c r="D20" s="17" t="s">
        <v>360</v>
      </c>
      <c r="E20" s="17">
        <f>IF(C20&gt;=25,0.5*C20/25,0)</f>
        <v>0</v>
      </c>
      <c r="F20" s="16"/>
      <c r="G20" s="248">
        <f>IF(SUM(E20,E22)&gt;=2,2,SUM(E20,E22))</f>
        <v>0</v>
      </c>
      <c r="H20" s="246">
        <v>2</v>
      </c>
    </row>
    <row r="21" spans="1:8" x14ac:dyDescent="0.15">
      <c r="A21" s="32"/>
      <c r="B21" s="55" t="s">
        <v>103</v>
      </c>
      <c r="C21" s="17"/>
      <c r="D21" s="17"/>
      <c r="E21" s="17"/>
      <c r="F21" s="16"/>
      <c r="G21" s="248"/>
      <c r="H21" s="246"/>
    </row>
    <row r="22" spans="1:8" x14ac:dyDescent="0.15">
      <c r="A22" s="32"/>
      <c r="B22" s="21" t="s">
        <v>104</v>
      </c>
      <c r="C22" s="50"/>
      <c r="D22" s="17" t="s">
        <v>360</v>
      </c>
      <c r="E22" s="17">
        <f>IF(C22&gt;=20,C22/20*0.5,0)</f>
        <v>0</v>
      </c>
      <c r="F22" s="16"/>
      <c r="G22" s="248"/>
      <c r="H22" s="246"/>
    </row>
    <row r="23" spans="1:8" x14ac:dyDescent="0.15">
      <c r="A23" s="32"/>
      <c r="B23" s="21"/>
      <c r="C23" s="17"/>
      <c r="D23" s="17"/>
      <c r="E23" s="17"/>
      <c r="F23" s="91" t="s">
        <v>451</v>
      </c>
      <c r="G23" s="92">
        <f>SUM(G15,G20)</f>
        <v>0</v>
      </c>
      <c r="H23" s="16"/>
    </row>
    <row r="24" spans="1:8" x14ac:dyDescent="0.15">
      <c r="A24" s="32"/>
      <c r="B24" s="21"/>
      <c r="C24" s="17"/>
      <c r="D24" s="17"/>
      <c r="E24" s="17"/>
      <c r="F24" s="16"/>
      <c r="G24" s="17"/>
      <c r="H24" s="16"/>
    </row>
    <row r="25" spans="1:8" x14ac:dyDescent="0.15">
      <c r="A25" s="32" t="s">
        <v>415</v>
      </c>
      <c r="B25" s="21" t="s">
        <v>105</v>
      </c>
      <c r="C25" s="17"/>
      <c r="D25" s="17"/>
      <c r="E25" s="17"/>
      <c r="F25" s="16"/>
      <c r="G25" s="17"/>
      <c r="H25" s="16"/>
    </row>
    <row r="26" spans="1:8" x14ac:dyDescent="0.15">
      <c r="A26" s="32" t="s">
        <v>23</v>
      </c>
      <c r="B26" s="21" t="s">
        <v>106</v>
      </c>
      <c r="C26" s="50"/>
      <c r="D26" s="17" t="s">
        <v>358</v>
      </c>
      <c r="E26" s="17">
        <f>IF(C26="Y",0.5,0)</f>
        <v>0</v>
      </c>
      <c r="F26" s="16"/>
      <c r="G26" s="248">
        <f>IF(SUM(E26:E27)&gt;=1,1,SUM(E26:E27))</f>
        <v>0</v>
      </c>
      <c r="H26" s="246">
        <v>1</v>
      </c>
    </row>
    <row r="27" spans="1:8" x14ac:dyDescent="0.15">
      <c r="A27" s="32" t="s">
        <v>25</v>
      </c>
      <c r="B27" s="21" t="s">
        <v>107</v>
      </c>
      <c r="C27" s="50"/>
      <c r="D27" s="17" t="s">
        <v>358</v>
      </c>
      <c r="E27" s="17">
        <f>IF(C27="Y",1,0)</f>
        <v>0</v>
      </c>
      <c r="F27" s="16"/>
      <c r="G27" s="248"/>
      <c r="H27" s="246"/>
    </row>
    <row r="28" spans="1:8" x14ac:dyDescent="0.15">
      <c r="A28" s="32"/>
      <c r="B28" s="21"/>
      <c r="C28" s="17"/>
      <c r="D28" s="17"/>
      <c r="E28" s="17"/>
      <c r="F28" s="91" t="s">
        <v>452</v>
      </c>
      <c r="G28" s="24">
        <f>SUM(G26)</f>
        <v>0</v>
      </c>
      <c r="H28" s="16"/>
    </row>
    <row r="29" spans="1:8" x14ac:dyDescent="0.15">
      <c r="A29" s="32"/>
      <c r="B29" s="21"/>
      <c r="C29" s="17"/>
      <c r="D29" s="17"/>
      <c r="E29" s="17"/>
      <c r="F29" s="16"/>
      <c r="G29" s="17"/>
      <c r="H29" s="16"/>
    </row>
    <row r="30" spans="1:8" x14ac:dyDescent="0.15">
      <c r="A30" s="32" t="s">
        <v>453</v>
      </c>
      <c r="B30" s="21" t="s">
        <v>108</v>
      </c>
      <c r="C30" s="17"/>
      <c r="D30" s="17"/>
      <c r="E30" s="17"/>
      <c r="F30" s="16"/>
      <c r="G30" s="17"/>
      <c r="H30" s="16"/>
    </row>
    <row r="31" spans="1:8" x14ac:dyDescent="0.15">
      <c r="A31" s="32" t="s">
        <v>23</v>
      </c>
      <c r="B31" s="21" t="s">
        <v>109</v>
      </c>
      <c r="C31" s="50"/>
      <c r="D31" s="17" t="s">
        <v>358</v>
      </c>
      <c r="E31" s="17">
        <f>IF(C31="Y",1,0)</f>
        <v>0</v>
      </c>
      <c r="F31" s="16"/>
      <c r="G31" s="248">
        <f>SUM(E31:E33)</f>
        <v>0</v>
      </c>
      <c r="H31" s="246">
        <v>3</v>
      </c>
    </row>
    <row r="32" spans="1:8" x14ac:dyDescent="0.15">
      <c r="A32" s="32" t="s">
        <v>25</v>
      </c>
      <c r="B32" s="21" t="s">
        <v>110</v>
      </c>
      <c r="C32" s="50"/>
      <c r="D32" s="17" t="s">
        <v>358</v>
      </c>
      <c r="E32" s="17">
        <f>IF(C32="Y",1,0)</f>
        <v>0</v>
      </c>
      <c r="F32" s="16"/>
      <c r="G32" s="248"/>
      <c r="H32" s="246"/>
    </row>
    <row r="33" spans="1:8" x14ac:dyDescent="0.15">
      <c r="A33" s="32" t="s">
        <v>29</v>
      </c>
      <c r="B33" s="21" t="s">
        <v>111</v>
      </c>
      <c r="C33" s="50"/>
      <c r="D33" s="17" t="s">
        <v>358</v>
      </c>
      <c r="E33" s="17">
        <f>IF(C33="Y",1,0)</f>
        <v>0</v>
      </c>
      <c r="F33" s="16"/>
      <c r="G33" s="248"/>
      <c r="H33" s="246"/>
    </row>
    <row r="34" spans="1:8" x14ac:dyDescent="0.15">
      <c r="A34" s="32"/>
      <c r="B34" s="21"/>
      <c r="C34" s="17"/>
      <c r="D34" s="17"/>
      <c r="E34" s="17"/>
      <c r="F34" s="91" t="s">
        <v>454</v>
      </c>
      <c r="G34" s="24">
        <f>G31</f>
        <v>0</v>
      </c>
      <c r="H34" s="16"/>
    </row>
    <row r="35" spans="1:8" x14ac:dyDescent="0.15">
      <c r="A35" s="32"/>
      <c r="B35" s="21"/>
      <c r="C35" s="17"/>
      <c r="D35" s="17"/>
      <c r="E35" s="17"/>
      <c r="F35" s="16"/>
      <c r="G35" s="17"/>
      <c r="H35" s="16"/>
    </row>
    <row r="36" spans="1:8" s="61" customFormat="1" ht="12" x14ac:dyDescent="0.2">
      <c r="A36" s="93">
        <v>3.2</v>
      </c>
      <c r="B36" s="84" t="s">
        <v>112</v>
      </c>
      <c r="C36" s="26"/>
      <c r="D36" s="25"/>
      <c r="E36" s="59"/>
      <c r="F36" s="94"/>
      <c r="G36" s="95">
        <f>SUM(G55,G60,G100)</f>
        <v>0</v>
      </c>
      <c r="H36" s="95">
        <v>18</v>
      </c>
    </row>
    <row r="37" spans="1:8" x14ac:dyDescent="0.15">
      <c r="A37" s="32" t="s">
        <v>417</v>
      </c>
      <c r="B37" s="21" t="s">
        <v>96</v>
      </c>
      <c r="C37" s="17"/>
      <c r="D37" s="17"/>
      <c r="E37" s="17"/>
      <c r="F37" s="16"/>
      <c r="G37" s="17"/>
      <c r="H37" s="16"/>
    </row>
    <row r="38" spans="1:8" ht="42" x14ac:dyDescent="0.15">
      <c r="A38" s="32" t="s">
        <v>23</v>
      </c>
      <c r="B38" s="21" t="s">
        <v>249</v>
      </c>
      <c r="C38" s="50"/>
      <c r="D38" s="17" t="s">
        <v>360</v>
      </c>
      <c r="E38" s="17"/>
      <c r="F38" s="16"/>
      <c r="G38" s="17">
        <f>IF(C38&gt;35%,1,0)</f>
        <v>0</v>
      </c>
      <c r="H38" s="36">
        <v>1</v>
      </c>
    </row>
    <row r="39" spans="1:8" x14ac:dyDescent="0.15">
      <c r="A39" s="32"/>
      <c r="B39" s="21"/>
      <c r="C39" s="17"/>
      <c r="D39" s="17"/>
      <c r="E39" s="17"/>
      <c r="F39" s="16"/>
      <c r="G39" s="17"/>
      <c r="H39" s="16"/>
    </row>
    <row r="40" spans="1:8" x14ac:dyDescent="0.15">
      <c r="A40" s="32" t="s">
        <v>113</v>
      </c>
      <c r="B40" s="21" t="s">
        <v>250</v>
      </c>
      <c r="C40" s="50"/>
      <c r="D40" s="17" t="s">
        <v>359</v>
      </c>
      <c r="E40" s="17"/>
      <c r="F40" s="16"/>
      <c r="G40" s="17">
        <f>IF(C40&lt;&gt;0,(IF(C40&gt;0.6,0,(VLOOKUP(C40,'Raw Data'!A27:B56,2,TRUE)))),0)</f>
        <v>0</v>
      </c>
      <c r="H40" s="266">
        <v>4</v>
      </c>
    </row>
    <row r="41" spans="1:8" x14ac:dyDescent="0.15">
      <c r="A41" s="32"/>
      <c r="B41" s="21"/>
      <c r="C41" s="17"/>
      <c r="D41" s="17"/>
      <c r="E41" s="17"/>
      <c r="F41" s="16"/>
      <c r="G41" s="17"/>
      <c r="H41" s="266"/>
    </row>
    <row r="42" spans="1:8" ht="21" x14ac:dyDescent="0.15">
      <c r="A42" s="32"/>
      <c r="B42" s="21" t="s">
        <v>492</v>
      </c>
      <c r="C42" s="50"/>
      <c r="D42" s="17" t="s">
        <v>360</v>
      </c>
      <c r="E42" s="17">
        <f>C42*0.5</f>
        <v>0</v>
      </c>
      <c r="F42" s="16"/>
      <c r="G42" s="184">
        <f>IF(C42=0,0,IF(C42&gt;=50,IF(C42&gt;=75,1.5,1),0.5))</f>
        <v>0</v>
      </c>
      <c r="H42" s="266"/>
    </row>
    <row r="43" spans="1:8" x14ac:dyDescent="0.15">
      <c r="A43" s="32"/>
      <c r="B43" s="21"/>
      <c r="C43" s="17"/>
      <c r="D43" s="17"/>
      <c r="E43" s="17"/>
      <c r="G43" s="17"/>
      <c r="H43" s="17"/>
    </row>
    <row r="44" spans="1:8" ht="21" x14ac:dyDescent="0.15">
      <c r="A44" s="32" t="s">
        <v>114</v>
      </c>
      <c r="B44" s="21" t="s">
        <v>115</v>
      </c>
      <c r="C44" s="17"/>
      <c r="D44" s="17"/>
      <c r="E44" s="17"/>
      <c r="F44" s="18" t="s">
        <v>253</v>
      </c>
      <c r="G44" s="18" t="s">
        <v>254</v>
      </c>
      <c r="H44" s="17"/>
    </row>
    <row r="45" spans="1:8" ht="12" x14ac:dyDescent="0.15">
      <c r="A45" s="32"/>
      <c r="B45" s="89" t="s">
        <v>302</v>
      </c>
      <c r="C45" s="50"/>
      <c r="D45" s="17" t="s">
        <v>359</v>
      </c>
      <c r="E45" s="17"/>
      <c r="F45" s="96">
        <f>0.015*C45</f>
        <v>0</v>
      </c>
      <c r="G45" s="96">
        <f>0.0075*C45</f>
        <v>0</v>
      </c>
      <c r="H45" s="17"/>
    </row>
    <row r="46" spans="1:8" ht="21" x14ac:dyDescent="0.15">
      <c r="A46" s="32"/>
      <c r="B46" s="89"/>
      <c r="C46" s="17"/>
      <c r="D46" s="17"/>
      <c r="E46" s="17"/>
      <c r="F46" s="18" t="s">
        <v>256</v>
      </c>
      <c r="G46" s="18" t="s">
        <v>257</v>
      </c>
      <c r="H46" s="17"/>
    </row>
    <row r="47" spans="1:8" x14ac:dyDescent="0.15">
      <c r="A47" s="32"/>
      <c r="B47" s="89" t="s">
        <v>255</v>
      </c>
      <c r="C47" s="50"/>
      <c r="D47" s="17" t="s">
        <v>359</v>
      </c>
      <c r="E47" s="17"/>
      <c r="F47" s="96">
        <f>1*C47</f>
        <v>0</v>
      </c>
      <c r="G47" s="96">
        <f>0.7*C47</f>
        <v>0</v>
      </c>
      <c r="H47" s="17"/>
    </row>
    <row r="48" spans="1:8" ht="31.5" x14ac:dyDescent="0.15">
      <c r="A48" s="32"/>
      <c r="B48" s="21" t="s">
        <v>303</v>
      </c>
      <c r="C48" s="50"/>
      <c r="D48" s="17" t="s">
        <v>359</v>
      </c>
      <c r="E48" s="17">
        <f>(ROUNDDOWN((IF(C48&gt;=F45,(IF(F47&gt;0,(C48/F47*100/5),0)),0)),0))*0.5</f>
        <v>0</v>
      </c>
      <c r="F48" s="16"/>
      <c r="G48" s="248">
        <f>IF(SUM(E48:E49)&gt;=1,1,SUM(E48:E49))</f>
        <v>0</v>
      </c>
      <c r="H48" s="246">
        <v>1</v>
      </c>
    </row>
    <row r="49" spans="1:8" ht="31.5" x14ac:dyDescent="0.15">
      <c r="A49" s="32"/>
      <c r="B49" s="21" t="s">
        <v>304</v>
      </c>
      <c r="C49" s="50"/>
      <c r="D49" s="17" t="s">
        <v>359</v>
      </c>
      <c r="E49" s="17">
        <f>(ROUNDDOWN((IF(C49&gt;=G45,(IF(G47&gt;0,(C49/G47*100/5),0)),0)),0))*0.5</f>
        <v>0</v>
      </c>
      <c r="F49" s="16"/>
      <c r="G49" s="248"/>
      <c r="H49" s="246"/>
    </row>
    <row r="50" spans="1:8" x14ac:dyDescent="0.15">
      <c r="A50" s="32"/>
      <c r="B50" s="21"/>
      <c r="C50" s="17"/>
      <c r="D50" s="17"/>
      <c r="E50" s="17"/>
      <c r="F50" s="16"/>
      <c r="G50" s="17"/>
      <c r="H50" s="17"/>
    </row>
    <row r="51" spans="1:8" ht="21" x14ac:dyDescent="0.15">
      <c r="A51" s="32"/>
      <c r="B51" s="21" t="s">
        <v>258</v>
      </c>
      <c r="C51" s="17"/>
      <c r="D51" s="17"/>
      <c r="E51" s="17"/>
      <c r="F51" s="16"/>
      <c r="G51" s="17"/>
      <c r="H51" s="17"/>
    </row>
    <row r="52" spans="1:8" ht="21" x14ac:dyDescent="0.15">
      <c r="A52" s="32"/>
      <c r="B52" s="21" t="s">
        <v>116</v>
      </c>
      <c r="C52" s="50"/>
      <c r="D52" s="17" t="s">
        <v>358</v>
      </c>
      <c r="E52" s="17">
        <f>IF(C52="Y",0.5,0)</f>
        <v>0</v>
      </c>
      <c r="F52" s="16"/>
      <c r="G52" s="248">
        <f>IF(SUM(E52,E54)&gt;=2,2,SUM(E52,E54))</f>
        <v>0</v>
      </c>
      <c r="H52" s="246">
        <v>2</v>
      </c>
    </row>
    <row r="53" spans="1:8" x14ac:dyDescent="0.15">
      <c r="A53" s="32"/>
      <c r="B53" s="55" t="s">
        <v>1</v>
      </c>
      <c r="C53" s="17"/>
      <c r="D53" s="17"/>
      <c r="E53" s="17"/>
      <c r="F53" s="16"/>
      <c r="G53" s="248"/>
      <c r="H53" s="246"/>
    </row>
    <row r="54" spans="1:8" x14ac:dyDescent="0.15">
      <c r="A54" s="32"/>
      <c r="B54" s="21" t="s">
        <v>117</v>
      </c>
      <c r="C54" s="50"/>
      <c r="D54" s="76" t="s">
        <v>361</v>
      </c>
      <c r="E54" s="17">
        <f>IF(C54&lt;&gt;0,(VLOOKUP(C54,'Raw Data'!D12:E14,2,FALSE)),0)</f>
        <v>0</v>
      </c>
      <c r="F54" s="16"/>
      <c r="G54" s="248"/>
      <c r="H54" s="246"/>
    </row>
    <row r="55" spans="1:8" x14ac:dyDescent="0.15">
      <c r="A55" s="32"/>
      <c r="B55" s="21"/>
      <c r="C55" s="17"/>
      <c r="D55" s="17"/>
      <c r="E55" s="17"/>
      <c r="F55" s="91" t="s">
        <v>455</v>
      </c>
      <c r="G55" s="24">
        <f>SUM(G38,G40,G42,G48,G52)</f>
        <v>0</v>
      </c>
      <c r="H55" s="16"/>
    </row>
    <row r="56" spans="1:8" x14ac:dyDescent="0.15">
      <c r="A56" s="32" t="s">
        <v>418</v>
      </c>
      <c r="B56" s="21" t="s">
        <v>97</v>
      </c>
      <c r="C56" s="17"/>
      <c r="D56" s="17"/>
      <c r="E56" s="17"/>
      <c r="F56" s="16"/>
      <c r="G56" s="17"/>
      <c r="H56" s="16"/>
    </row>
    <row r="57" spans="1:8" x14ac:dyDescent="0.15">
      <c r="A57" s="32"/>
      <c r="B57" s="21" t="s">
        <v>118</v>
      </c>
      <c r="C57" s="50"/>
      <c r="D57" s="17" t="s">
        <v>358</v>
      </c>
      <c r="E57" s="17">
        <f>IF(C57="Y",1,0)</f>
        <v>0</v>
      </c>
      <c r="F57" s="16"/>
      <c r="G57" s="248">
        <f>SUM(E57,E59)</f>
        <v>0</v>
      </c>
      <c r="H57" s="246">
        <v>2</v>
      </c>
    </row>
    <row r="58" spans="1:8" x14ac:dyDescent="0.15">
      <c r="A58" s="32"/>
      <c r="B58" s="21"/>
      <c r="C58" s="17"/>
      <c r="D58" s="17"/>
      <c r="E58" s="17"/>
      <c r="F58" s="16"/>
      <c r="G58" s="248"/>
      <c r="H58" s="246"/>
    </row>
    <row r="59" spans="1:8" x14ac:dyDescent="0.15">
      <c r="A59" s="32"/>
      <c r="B59" s="21" t="s">
        <v>119</v>
      </c>
      <c r="C59" s="50"/>
      <c r="D59" s="17" t="s">
        <v>359</v>
      </c>
      <c r="E59" s="17">
        <f>IF((C59*0.25&gt;=1),1,C59*0.25)</f>
        <v>0</v>
      </c>
      <c r="F59" s="16"/>
      <c r="G59" s="248"/>
      <c r="H59" s="246"/>
    </row>
    <row r="60" spans="1:8" x14ac:dyDescent="0.15">
      <c r="A60" s="32"/>
      <c r="B60" s="21"/>
      <c r="C60" s="17"/>
      <c r="D60" s="17"/>
      <c r="E60" s="17"/>
      <c r="F60" s="91" t="s">
        <v>456</v>
      </c>
      <c r="G60" s="24">
        <f>SUM(G57)</f>
        <v>0</v>
      </c>
      <c r="H60" s="16"/>
    </row>
    <row r="61" spans="1:8" x14ac:dyDescent="0.15">
      <c r="A61" s="32"/>
      <c r="B61" s="21"/>
      <c r="C61" s="17"/>
      <c r="D61" s="17"/>
      <c r="E61" s="17"/>
      <c r="F61" s="16"/>
      <c r="G61" s="17"/>
      <c r="H61" s="16"/>
    </row>
    <row r="62" spans="1:8" x14ac:dyDescent="0.15">
      <c r="A62" s="97" t="s">
        <v>419</v>
      </c>
      <c r="B62" s="79" t="s">
        <v>98</v>
      </c>
      <c r="C62" s="30"/>
      <c r="D62" s="17"/>
      <c r="E62" s="17"/>
      <c r="F62" s="16"/>
      <c r="G62" s="17"/>
      <c r="H62" s="16"/>
    </row>
    <row r="63" spans="1:8" ht="21" x14ac:dyDescent="0.15">
      <c r="A63" s="32" t="s">
        <v>23</v>
      </c>
      <c r="B63" s="79" t="s">
        <v>305</v>
      </c>
      <c r="C63" s="17"/>
      <c r="D63" s="17"/>
      <c r="E63" s="17"/>
      <c r="F63" s="16"/>
      <c r="G63" s="17"/>
      <c r="H63" s="16"/>
    </row>
    <row r="64" spans="1:8" x14ac:dyDescent="0.15">
      <c r="A64" s="32"/>
      <c r="B64" s="98" t="s">
        <v>260</v>
      </c>
      <c r="C64" s="17"/>
      <c r="D64" s="17"/>
      <c r="E64" s="17"/>
      <c r="F64" s="16"/>
      <c r="G64" s="17"/>
    </row>
    <row r="65" spans="1:8" x14ac:dyDescent="0.15">
      <c r="A65" s="32"/>
      <c r="B65" s="32" t="s">
        <v>261</v>
      </c>
      <c r="C65" s="50"/>
      <c r="D65" s="17" t="s">
        <v>358</v>
      </c>
      <c r="E65" s="17">
        <f>IF(C65="Y",1,0)</f>
        <v>0</v>
      </c>
      <c r="F65" s="16"/>
      <c r="G65" s="248">
        <f>IF(SUM(E65:E95)&gt;=6,6,SUM(E65:E95))</f>
        <v>0</v>
      </c>
      <c r="H65" s="246">
        <v>6</v>
      </c>
    </row>
    <row r="66" spans="1:8" x14ac:dyDescent="0.15">
      <c r="A66" s="32"/>
      <c r="B66" s="32" t="s">
        <v>262</v>
      </c>
      <c r="C66" s="50"/>
      <c r="D66" s="17" t="s">
        <v>358</v>
      </c>
      <c r="E66" s="17">
        <f t="shared" ref="E66:E69" si="0">IF(C66="Y",1,0)</f>
        <v>0</v>
      </c>
      <c r="F66" s="16"/>
      <c r="G66" s="248"/>
      <c r="H66" s="246"/>
    </row>
    <row r="67" spans="1:8" x14ac:dyDescent="0.15">
      <c r="A67" s="32"/>
      <c r="B67" s="32" t="s">
        <v>263</v>
      </c>
      <c r="C67" s="50"/>
      <c r="D67" s="17" t="s">
        <v>358</v>
      </c>
      <c r="E67" s="17">
        <f t="shared" si="0"/>
        <v>0</v>
      </c>
      <c r="F67" s="16"/>
      <c r="G67" s="248"/>
      <c r="H67" s="246"/>
    </row>
    <row r="68" spans="1:8" x14ac:dyDescent="0.15">
      <c r="A68" s="32"/>
      <c r="B68" s="32" t="s">
        <v>264</v>
      </c>
      <c r="C68" s="50"/>
      <c r="D68" s="17" t="s">
        <v>358</v>
      </c>
      <c r="E68" s="17">
        <f>IF(C68="Y",0.5,0)</f>
        <v>0</v>
      </c>
      <c r="F68" s="16"/>
      <c r="G68" s="248"/>
      <c r="H68" s="246"/>
    </row>
    <row r="69" spans="1:8" x14ac:dyDescent="0.15">
      <c r="A69" s="32"/>
      <c r="B69" s="32" t="s">
        <v>265</v>
      </c>
      <c r="C69" s="50"/>
      <c r="D69" s="17" t="s">
        <v>358</v>
      </c>
      <c r="E69" s="17">
        <f t="shared" si="0"/>
        <v>0</v>
      </c>
      <c r="F69" s="32"/>
      <c r="G69" s="248"/>
      <c r="H69" s="246"/>
    </row>
    <row r="70" spans="1:8" x14ac:dyDescent="0.15">
      <c r="A70" s="32"/>
      <c r="B70" s="32" t="s">
        <v>266</v>
      </c>
      <c r="C70" s="50"/>
      <c r="D70" s="17" t="s">
        <v>358</v>
      </c>
      <c r="E70" s="17">
        <f>IF(C70="Y",0.5,0)</f>
        <v>0</v>
      </c>
      <c r="F70" s="32"/>
      <c r="G70" s="248"/>
      <c r="H70" s="246"/>
    </row>
    <row r="71" spans="1:8" x14ac:dyDescent="0.15">
      <c r="A71" s="32"/>
      <c r="B71" s="32"/>
      <c r="C71" s="17"/>
      <c r="D71" s="17"/>
      <c r="E71" s="17"/>
      <c r="F71" s="32"/>
      <c r="G71" s="248"/>
      <c r="H71" s="246"/>
    </row>
    <row r="72" spans="1:8" x14ac:dyDescent="0.15">
      <c r="A72" s="32"/>
      <c r="B72" s="98" t="s">
        <v>267</v>
      </c>
      <c r="C72" s="17"/>
      <c r="D72" s="17"/>
      <c r="E72" s="17"/>
      <c r="F72" s="32"/>
      <c r="G72" s="248"/>
      <c r="H72" s="246"/>
    </row>
    <row r="73" spans="1:8" x14ac:dyDescent="0.15">
      <c r="A73" s="32"/>
      <c r="B73" s="32" t="s">
        <v>261</v>
      </c>
      <c r="C73" s="50"/>
      <c r="D73" s="17" t="s">
        <v>358</v>
      </c>
      <c r="E73" s="17">
        <f>IF((AND(C65="Y",C73="Y")),2,0)</f>
        <v>0</v>
      </c>
      <c r="F73" s="32"/>
      <c r="G73" s="248"/>
      <c r="H73" s="246"/>
    </row>
    <row r="74" spans="1:8" x14ac:dyDescent="0.15">
      <c r="A74" s="32"/>
      <c r="B74" s="32" t="s">
        <v>262</v>
      </c>
      <c r="C74" s="50"/>
      <c r="D74" s="17" t="s">
        <v>358</v>
      </c>
      <c r="E74" s="17">
        <f t="shared" ref="E74:E75" si="1">IF((AND(C66="Y",C74="Y")),2,0)</f>
        <v>0</v>
      </c>
      <c r="F74" s="32"/>
      <c r="G74" s="248"/>
      <c r="H74" s="246"/>
    </row>
    <row r="75" spans="1:8" x14ac:dyDescent="0.15">
      <c r="A75" s="32"/>
      <c r="B75" s="32" t="s">
        <v>263</v>
      </c>
      <c r="C75" s="50"/>
      <c r="D75" s="17" t="s">
        <v>358</v>
      </c>
      <c r="E75" s="17">
        <f t="shared" si="1"/>
        <v>0</v>
      </c>
      <c r="F75" s="16"/>
      <c r="G75" s="248"/>
      <c r="H75" s="246"/>
    </row>
    <row r="76" spans="1:8" x14ac:dyDescent="0.15">
      <c r="A76" s="32"/>
      <c r="B76" s="32" t="s">
        <v>264</v>
      </c>
      <c r="C76" s="50"/>
      <c r="D76" s="17" t="s">
        <v>358</v>
      </c>
      <c r="E76" s="17">
        <f>IF((AND(C68="Y",C76="Y")),0.5,0)</f>
        <v>0</v>
      </c>
      <c r="F76" s="16"/>
      <c r="G76" s="248"/>
      <c r="H76" s="246"/>
    </row>
    <row r="77" spans="1:8" x14ac:dyDescent="0.15">
      <c r="A77" s="32"/>
      <c r="B77" s="32" t="s">
        <v>265</v>
      </c>
      <c r="C77" s="50"/>
      <c r="D77" s="17" t="s">
        <v>358</v>
      </c>
      <c r="E77" s="17">
        <f>IF((AND(C69="Y",C77="Y")),0.5,0)</f>
        <v>0</v>
      </c>
      <c r="F77" s="16"/>
      <c r="G77" s="248"/>
      <c r="H77" s="246"/>
    </row>
    <row r="78" spans="1:8" x14ac:dyDescent="0.15">
      <c r="A78" s="32"/>
      <c r="B78" s="32" t="s">
        <v>266</v>
      </c>
      <c r="C78" s="50"/>
      <c r="D78" s="17" t="s">
        <v>358</v>
      </c>
      <c r="E78" s="17">
        <f>IF((AND(C70="Y",C78="Y")),0.5,0)</f>
        <v>0</v>
      </c>
      <c r="F78" s="16"/>
      <c r="G78" s="248"/>
      <c r="H78" s="246"/>
    </row>
    <row r="79" spans="1:8" x14ac:dyDescent="0.15">
      <c r="A79" s="32"/>
      <c r="B79" s="32"/>
      <c r="C79" s="17"/>
      <c r="D79" s="17"/>
      <c r="E79" s="17"/>
      <c r="F79" s="16"/>
      <c r="G79" s="248"/>
      <c r="H79" s="246"/>
    </row>
    <row r="80" spans="1:8" x14ac:dyDescent="0.15">
      <c r="A80" s="32"/>
      <c r="B80" s="32" t="s">
        <v>306</v>
      </c>
      <c r="C80" s="17"/>
      <c r="D80" s="17"/>
      <c r="E80" s="17"/>
      <c r="F80" s="16"/>
      <c r="G80" s="248"/>
      <c r="H80" s="246"/>
    </row>
    <row r="81" spans="1:8" x14ac:dyDescent="0.15">
      <c r="A81" s="16"/>
      <c r="B81" s="98" t="s">
        <v>268</v>
      </c>
      <c r="C81" s="17"/>
      <c r="D81" s="17"/>
      <c r="E81" s="17"/>
      <c r="F81" s="16"/>
      <c r="G81" s="248"/>
      <c r="H81" s="246"/>
    </row>
    <row r="82" spans="1:8" x14ac:dyDescent="0.15">
      <c r="A82" s="32"/>
      <c r="B82" s="32" t="s">
        <v>269</v>
      </c>
      <c r="C82" s="50"/>
      <c r="D82" s="17" t="s">
        <v>358</v>
      </c>
      <c r="E82" s="17">
        <f>IF(C65&lt;&gt;"Y",(IF(C82="Y",0.5,0)),0)</f>
        <v>0</v>
      </c>
      <c r="F82" s="16"/>
      <c r="G82" s="248"/>
      <c r="H82" s="246"/>
    </row>
    <row r="83" spans="1:8" x14ac:dyDescent="0.15">
      <c r="A83" s="32"/>
      <c r="B83" s="32" t="s">
        <v>270</v>
      </c>
      <c r="C83" s="50"/>
      <c r="D83" s="17" t="s">
        <v>358</v>
      </c>
      <c r="E83" s="17">
        <f>IF(C66&lt;&gt;"Y",(IF(C83="Y",0.5,0)),0)</f>
        <v>0</v>
      </c>
      <c r="F83" s="16"/>
      <c r="G83" s="248"/>
      <c r="H83" s="246"/>
    </row>
    <row r="84" spans="1:8" x14ac:dyDescent="0.15">
      <c r="A84" s="32"/>
      <c r="B84" s="32" t="s">
        <v>263</v>
      </c>
      <c r="C84" s="50"/>
      <c r="D84" s="17" t="s">
        <v>358</v>
      </c>
      <c r="E84" s="17">
        <f>IF(C67&lt;&gt;"Y",(IF(C84="Y",1,0)),0)</f>
        <v>0</v>
      </c>
      <c r="F84" s="16"/>
      <c r="G84" s="248"/>
      <c r="H84" s="246"/>
    </row>
    <row r="85" spans="1:8" x14ac:dyDescent="0.15">
      <c r="A85" s="32"/>
      <c r="B85" s="32" t="s">
        <v>264</v>
      </c>
      <c r="C85" s="50"/>
      <c r="D85" s="17" t="s">
        <v>358</v>
      </c>
      <c r="E85" s="17">
        <f>IF(C68&lt;&gt;"Y",(IF(C85="Y",0.5,0)),0)</f>
        <v>0</v>
      </c>
      <c r="F85" s="16"/>
      <c r="G85" s="248"/>
      <c r="H85" s="246"/>
    </row>
    <row r="86" spans="1:8" x14ac:dyDescent="0.15">
      <c r="A86" s="32"/>
      <c r="B86" s="32" t="s">
        <v>271</v>
      </c>
      <c r="C86" s="50"/>
      <c r="D86" s="17" t="s">
        <v>358</v>
      </c>
      <c r="E86" s="17">
        <f>IF(C69&lt;&gt;"Y",(IF(C86="Y",0.5,0)),0)</f>
        <v>0</v>
      </c>
      <c r="F86" s="16"/>
      <c r="G86" s="248"/>
      <c r="H86" s="246"/>
    </row>
    <row r="87" spans="1:8" x14ac:dyDescent="0.15">
      <c r="A87" s="32"/>
      <c r="B87" s="32" t="s">
        <v>272</v>
      </c>
      <c r="C87" s="50"/>
      <c r="D87" s="17" t="s">
        <v>358</v>
      </c>
      <c r="E87" s="17">
        <f>IF(C70&lt;&gt;"Y",(IF(C87="Y",0.25,0)),0)</f>
        <v>0</v>
      </c>
      <c r="F87" s="16"/>
      <c r="G87" s="248"/>
      <c r="H87" s="246"/>
    </row>
    <row r="88" spans="1:8" x14ac:dyDescent="0.15">
      <c r="A88" s="32"/>
      <c r="B88" s="32"/>
      <c r="C88" s="17"/>
      <c r="D88" s="17"/>
      <c r="E88" s="17"/>
      <c r="F88" s="16"/>
      <c r="G88" s="248"/>
      <c r="H88" s="246"/>
    </row>
    <row r="89" spans="1:8" x14ac:dyDescent="0.15">
      <c r="A89" s="32"/>
      <c r="B89" s="98" t="s">
        <v>267</v>
      </c>
      <c r="C89" s="17"/>
      <c r="D89" s="17"/>
      <c r="E89" s="17"/>
      <c r="F89" s="16"/>
      <c r="G89" s="248"/>
      <c r="H89" s="246"/>
    </row>
    <row r="90" spans="1:8" x14ac:dyDescent="0.15">
      <c r="A90" s="32"/>
      <c r="B90" s="32" t="s">
        <v>269</v>
      </c>
      <c r="C90" s="50"/>
      <c r="D90" s="17" t="s">
        <v>358</v>
      </c>
      <c r="E90" s="17">
        <f>IF(C73&lt;&gt;"Y",(IF((AND(C82="Y",C90="Y")),1,0)),0)</f>
        <v>0</v>
      </c>
      <c r="F90" s="16"/>
      <c r="G90" s="248"/>
      <c r="H90" s="246"/>
    </row>
    <row r="91" spans="1:8" x14ac:dyDescent="0.15">
      <c r="A91" s="32"/>
      <c r="B91" s="32" t="s">
        <v>270</v>
      </c>
      <c r="C91" s="50"/>
      <c r="D91" s="17" t="s">
        <v>358</v>
      </c>
      <c r="E91" s="17">
        <f>IF(C74&lt;&gt;"Y",(IF((AND(C83="Y",C91="Y")),1,0)),0)</f>
        <v>0</v>
      </c>
      <c r="F91" s="16"/>
      <c r="G91" s="248"/>
      <c r="H91" s="246"/>
    </row>
    <row r="92" spans="1:8" x14ac:dyDescent="0.15">
      <c r="A92" s="32"/>
      <c r="B92" s="32" t="s">
        <v>263</v>
      </c>
      <c r="C92" s="50"/>
      <c r="D92" s="17" t="s">
        <v>358</v>
      </c>
      <c r="E92" s="17">
        <f>IF(C75&lt;&gt;"Y",(IF((AND(C84="Y",C92="Y")),2,0)),0)</f>
        <v>0</v>
      </c>
      <c r="F92" s="16"/>
      <c r="G92" s="248"/>
      <c r="H92" s="246"/>
    </row>
    <row r="93" spans="1:8" x14ac:dyDescent="0.15">
      <c r="A93" s="32"/>
      <c r="B93" s="32" t="s">
        <v>264</v>
      </c>
      <c r="C93" s="50"/>
      <c r="D93" s="17" t="s">
        <v>358</v>
      </c>
      <c r="E93" s="17">
        <f>IF(C76&lt;&gt;"Y",(IF((AND(C85="Y",C93="Y")),0.5,0)),0)</f>
        <v>0</v>
      </c>
      <c r="F93" s="16"/>
      <c r="G93" s="248"/>
      <c r="H93" s="246"/>
    </row>
    <row r="94" spans="1:8" x14ac:dyDescent="0.15">
      <c r="A94" s="32"/>
      <c r="B94" s="32" t="s">
        <v>271</v>
      </c>
      <c r="C94" s="50"/>
      <c r="D94" s="17" t="s">
        <v>358</v>
      </c>
      <c r="E94" s="17">
        <f>IF(C77&lt;&gt;"Y",(IF((AND(C86="Y",C94="Y")),0.25,0)),0)</f>
        <v>0</v>
      </c>
      <c r="F94" s="16"/>
      <c r="G94" s="248"/>
      <c r="H94" s="246"/>
    </row>
    <row r="95" spans="1:8" x14ac:dyDescent="0.15">
      <c r="A95" s="32"/>
      <c r="B95" s="32" t="s">
        <v>272</v>
      </c>
      <c r="C95" s="50"/>
      <c r="D95" s="17" t="s">
        <v>358</v>
      </c>
      <c r="E95" s="17">
        <f>IF(C78&lt;&gt;"Y",(IF((AND(C87="Y",C95="Y")),0.25,0)),0)</f>
        <v>0</v>
      </c>
      <c r="F95" s="16"/>
      <c r="G95" s="248"/>
      <c r="H95" s="246"/>
    </row>
    <row r="96" spans="1:8" x14ac:dyDescent="0.15">
      <c r="A96" s="32"/>
      <c r="B96" s="79"/>
      <c r="C96" s="16"/>
      <c r="D96" s="16"/>
      <c r="E96" s="35">
        <f>SUM(E65:E95)</f>
        <v>0</v>
      </c>
      <c r="F96" s="16"/>
      <c r="G96" s="16"/>
      <c r="H96" s="16"/>
    </row>
    <row r="97" spans="1:8" ht="21" x14ac:dyDescent="0.15">
      <c r="A97" s="32" t="s">
        <v>25</v>
      </c>
      <c r="B97" s="79" t="s">
        <v>120</v>
      </c>
      <c r="C97" s="17"/>
      <c r="D97" s="17"/>
      <c r="E97" s="17"/>
      <c r="F97" s="16"/>
      <c r="G97" s="17"/>
      <c r="H97" s="16"/>
    </row>
    <row r="98" spans="1:8" ht="21" x14ac:dyDescent="0.15">
      <c r="A98" s="32"/>
      <c r="B98" s="66" t="s">
        <v>273</v>
      </c>
      <c r="C98" s="50"/>
      <c r="D98" s="17" t="s">
        <v>359</v>
      </c>
      <c r="E98" s="17">
        <f>C98*0.25</f>
        <v>0</v>
      </c>
      <c r="F98" s="16"/>
      <c r="G98" s="248">
        <f>IF(SUM(E98:E99)&gt;=2,2,SUM(E98:E99))</f>
        <v>0</v>
      </c>
      <c r="H98" s="246">
        <v>2</v>
      </c>
    </row>
    <row r="99" spans="1:8" ht="21" x14ac:dyDescent="0.15">
      <c r="A99" s="32"/>
      <c r="B99" s="66" t="s">
        <v>274</v>
      </c>
      <c r="C99" s="50"/>
      <c r="D99" s="17" t="s">
        <v>359</v>
      </c>
      <c r="E99" s="17">
        <f>C99*0.25</f>
        <v>0</v>
      </c>
      <c r="F99" s="16"/>
      <c r="G99" s="248"/>
      <c r="H99" s="246"/>
    </row>
    <row r="100" spans="1:8" x14ac:dyDescent="0.15">
      <c r="A100" s="32"/>
      <c r="B100" s="21"/>
      <c r="C100" s="17"/>
      <c r="D100" s="17"/>
      <c r="E100" s="17"/>
      <c r="F100" s="91" t="s">
        <v>457</v>
      </c>
      <c r="G100" s="24">
        <f>SUM(G65,G98)</f>
        <v>0</v>
      </c>
    </row>
    <row r="101" spans="1:8" x14ac:dyDescent="0.15">
      <c r="A101" s="32"/>
      <c r="B101" s="21"/>
      <c r="C101" s="17"/>
      <c r="D101" s="17"/>
      <c r="E101" s="17"/>
      <c r="F101" s="16"/>
      <c r="G101" s="17"/>
      <c r="H101" s="16"/>
    </row>
    <row r="102" spans="1:8" s="61" customFormat="1" ht="12" x14ac:dyDescent="0.2">
      <c r="A102" s="93">
        <v>3.3</v>
      </c>
      <c r="B102" s="84" t="s">
        <v>121</v>
      </c>
      <c r="C102" s="26"/>
      <c r="D102" s="25"/>
      <c r="E102" s="59"/>
      <c r="F102" s="94"/>
      <c r="G102" s="95">
        <f>SUM(G104,G111)</f>
        <v>0</v>
      </c>
      <c r="H102" s="95">
        <v>4</v>
      </c>
    </row>
    <row r="103" spans="1:8" x14ac:dyDescent="0.15">
      <c r="A103" s="32" t="s">
        <v>420</v>
      </c>
      <c r="B103" s="21" t="s">
        <v>346</v>
      </c>
      <c r="C103" s="50"/>
      <c r="D103" s="17" t="s">
        <v>358</v>
      </c>
      <c r="E103" s="17">
        <f>IF(C103="Y",1,0)</f>
        <v>0</v>
      </c>
      <c r="F103" s="16"/>
      <c r="G103" s="17">
        <f>E103</f>
        <v>0</v>
      </c>
      <c r="H103" s="36">
        <v>1</v>
      </c>
    </row>
    <row r="104" spans="1:8" x14ac:dyDescent="0.15">
      <c r="A104" s="32"/>
      <c r="B104" s="21"/>
      <c r="C104" s="17"/>
      <c r="D104" s="17"/>
      <c r="E104" s="17"/>
      <c r="F104" s="91" t="s">
        <v>458</v>
      </c>
      <c r="G104" s="24">
        <f>G103</f>
        <v>0</v>
      </c>
      <c r="H104" s="16"/>
    </row>
    <row r="105" spans="1:8" x14ac:dyDescent="0.15">
      <c r="A105" s="32" t="s">
        <v>421</v>
      </c>
      <c r="B105" s="21" t="s">
        <v>122</v>
      </c>
      <c r="C105" s="17"/>
      <c r="D105" s="17"/>
      <c r="E105" s="17"/>
      <c r="F105" s="16"/>
      <c r="G105" s="17"/>
      <c r="H105" s="16"/>
    </row>
    <row r="106" spans="1:8" ht="42" x14ac:dyDescent="0.15">
      <c r="A106" s="16" t="s">
        <v>23</v>
      </c>
      <c r="B106" s="18" t="s">
        <v>383</v>
      </c>
      <c r="C106" s="50"/>
      <c r="D106" s="17" t="s">
        <v>358</v>
      </c>
      <c r="E106" s="17">
        <f>IF(C106="Y",1,0)</f>
        <v>0</v>
      </c>
      <c r="F106" s="16"/>
      <c r="G106" s="17">
        <f>E106</f>
        <v>0</v>
      </c>
      <c r="H106" s="246">
        <v>3</v>
      </c>
    </row>
    <row r="107" spans="1:8" x14ac:dyDescent="0.15">
      <c r="A107" s="16"/>
      <c r="B107" s="18"/>
      <c r="C107" s="17"/>
      <c r="D107" s="17"/>
      <c r="E107" s="17"/>
      <c r="F107" s="16"/>
      <c r="G107" s="17"/>
      <c r="H107" s="246"/>
    </row>
    <row r="108" spans="1:8" ht="21" x14ac:dyDescent="0.15">
      <c r="A108" s="32" t="s">
        <v>25</v>
      </c>
      <c r="B108" s="18" t="s">
        <v>385</v>
      </c>
      <c r="C108" s="50"/>
      <c r="D108" s="17" t="s">
        <v>358</v>
      </c>
      <c r="E108" s="17">
        <f>IF(C108="Y",1,0)</f>
        <v>0</v>
      </c>
      <c r="F108" s="16"/>
      <c r="G108" s="17">
        <f>E108</f>
        <v>0</v>
      </c>
      <c r="H108" s="246"/>
    </row>
    <row r="109" spans="1:8" x14ac:dyDescent="0.15">
      <c r="A109" s="32"/>
      <c r="B109" s="18"/>
      <c r="C109" s="17"/>
      <c r="D109" s="17"/>
      <c r="E109" s="17"/>
      <c r="F109" s="16"/>
      <c r="G109" s="17"/>
      <c r="H109" s="246"/>
    </row>
    <row r="110" spans="1:8" ht="21" x14ac:dyDescent="0.15">
      <c r="A110" s="16" t="s">
        <v>29</v>
      </c>
      <c r="B110" s="18" t="s">
        <v>384</v>
      </c>
      <c r="C110" s="50"/>
      <c r="D110" s="17" t="s">
        <v>358</v>
      </c>
      <c r="E110" s="17">
        <f>IF(C110="Y",1,0)</f>
        <v>0</v>
      </c>
      <c r="F110" s="16"/>
      <c r="G110" s="17">
        <f>E110</f>
        <v>0</v>
      </c>
      <c r="H110" s="246"/>
    </row>
    <row r="111" spans="1:8" x14ac:dyDescent="0.15">
      <c r="A111" s="16"/>
      <c r="B111" s="18"/>
      <c r="C111" s="18"/>
      <c r="D111" s="18"/>
      <c r="E111" s="18"/>
      <c r="F111" s="91" t="s">
        <v>459</v>
      </c>
      <c r="G111" s="99">
        <f>SUM(G106,G108,G110)</f>
        <v>0</v>
      </c>
      <c r="H111" s="18"/>
    </row>
    <row r="113" spans="1:8" x14ac:dyDescent="0.15">
      <c r="A113" s="265"/>
      <c r="B113" s="265"/>
      <c r="C113" s="265"/>
      <c r="D113" s="265"/>
      <c r="E113" s="265"/>
      <c r="F113" s="265"/>
      <c r="G113" s="265"/>
      <c r="H113" s="265"/>
    </row>
  </sheetData>
  <sheetProtection algorithmName="SHA-512" hashValue="gRYsqeSQ3miQXG7QZHrLmpGfiKPiwxSg8NN0LMlWNBwCptClfcRD0XMD7wvNRKTkoe0TUiguWfYToCDCmDMdHQ==" saltValue="hxqjZ532PLNN23XRpbdPhQ==" spinCount="100000" sheet="1"/>
  <mergeCells count="27">
    <mergeCell ref="G98:G99"/>
    <mergeCell ref="H98:H99"/>
    <mergeCell ref="G65:G95"/>
    <mergeCell ref="A113:H113"/>
    <mergeCell ref="H20:H22"/>
    <mergeCell ref="H26:H27"/>
    <mergeCell ref="H31:H33"/>
    <mergeCell ref="H57:H59"/>
    <mergeCell ref="H65:H95"/>
    <mergeCell ref="H106:H110"/>
    <mergeCell ref="G57:G59"/>
    <mergeCell ref="H40:H42"/>
    <mergeCell ref="G48:G49"/>
    <mergeCell ref="H48:H49"/>
    <mergeCell ref="G52:G54"/>
    <mergeCell ref="H52:H54"/>
    <mergeCell ref="F3:H3"/>
    <mergeCell ref="F10:F11"/>
    <mergeCell ref="B10:C11"/>
    <mergeCell ref="A10:A11"/>
    <mergeCell ref="A3:C4"/>
    <mergeCell ref="F5:H5"/>
    <mergeCell ref="H15:H17"/>
    <mergeCell ref="G15:G17"/>
    <mergeCell ref="G20:G22"/>
    <mergeCell ref="G26:G27"/>
    <mergeCell ref="G31:G33"/>
  </mergeCells>
  <conditionalFormatting sqref="C82">
    <cfRule type="expression" dxfId="27" priority="39">
      <formula>$C$65="Y"</formula>
    </cfRule>
  </conditionalFormatting>
  <conditionalFormatting sqref="C83">
    <cfRule type="expression" dxfId="26" priority="38">
      <formula>$C$66="Y"</formula>
    </cfRule>
  </conditionalFormatting>
  <conditionalFormatting sqref="C84">
    <cfRule type="expression" dxfId="25" priority="37">
      <formula>$C$67="Y"</formula>
    </cfRule>
  </conditionalFormatting>
  <conditionalFormatting sqref="C85">
    <cfRule type="expression" dxfId="24" priority="36">
      <formula>$C$68="Y"</formula>
    </cfRule>
  </conditionalFormatting>
  <conditionalFormatting sqref="C86">
    <cfRule type="expression" dxfId="23" priority="35">
      <formula>$C$69="Y"</formula>
    </cfRule>
  </conditionalFormatting>
  <conditionalFormatting sqref="C87">
    <cfRule type="expression" dxfId="22" priority="34">
      <formula>$C$70="Y"</formula>
    </cfRule>
  </conditionalFormatting>
  <conditionalFormatting sqref="C73">
    <cfRule type="expression" dxfId="21" priority="15">
      <formula>$C$90="Y"</formula>
    </cfRule>
    <cfRule type="expression" dxfId="20" priority="33">
      <formula>$C$82="Y"</formula>
    </cfRule>
  </conditionalFormatting>
  <conditionalFormatting sqref="C74:C78">
    <cfRule type="expression" dxfId="19" priority="32">
      <formula>$C$82="Y"</formula>
    </cfRule>
  </conditionalFormatting>
  <conditionalFormatting sqref="C65">
    <cfRule type="expression" dxfId="18" priority="19">
      <formula>$C$82="Y"</formula>
    </cfRule>
  </conditionalFormatting>
  <conditionalFormatting sqref="C66:C70">
    <cfRule type="expression" dxfId="17" priority="18">
      <formula>$C$82="Y"</formula>
    </cfRule>
  </conditionalFormatting>
  <conditionalFormatting sqref="C90">
    <cfRule type="expression" dxfId="16" priority="17">
      <formula>$C$82="Y"</formula>
    </cfRule>
  </conditionalFormatting>
  <conditionalFormatting sqref="C91:C95">
    <cfRule type="expression" dxfId="15" priority="16">
      <formula>$C$82="Y"</formula>
    </cfRule>
  </conditionalFormatting>
  <conditionalFormatting sqref="C74">
    <cfRule type="expression" dxfId="14" priority="14">
      <formula>$C$91="Y"</formula>
    </cfRule>
  </conditionalFormatting>
  <conditionalFormatting sqref="C75">
    <cfRule type="expression" dxfId="13" priority="13">
      <formula>$C$92="Y"</formula>
    </cfRule>
  </conditionalFormatting>
  <conditionalFormatting sqref="C76">
    <cfRule type="expression" dxfId="12" priority="12">
      <formula>$C$93="Y"</formula>
    </cfRule>
  </conditionalFormatting>
  <conditionalFormatting sqref="C77">
    <cfRule type="expression" dxfId="11" priority="11">
      <formula>$C$94="Y"</formula>
    </cfRule>
  </conditionalFormatting>
  <conditionalFormatting sqref="C78">
    <cfRule type="expression" dxfId="10" priority="10">
      <formula>$C$95="Y"</formula>
    </cfRule>
  </conditionalFormatting>
  <conditionalFormatting sqref="F5:H5">
    <cfRule type="expression" dxfId="9" priority="9">
      <formula>E5=TRUE</formula>
    </cfRule>
  </conditionalFormatting>
  <conditionalFormatting sqref="F6">
    <cfRule type="expression" dxfId="8" priority="8">
      <formula>$F$6="OK"</formula>
    </cfRule>
  </conditionalFormatting>
  <conditionalFormatting sqref="G6">
    <cfRule type="expression" dxfId="7" priority="7">
      <formula>$G$6="OK"</formula>
    </cfRule>
  </conditionalFormatting>
  <conditionalFormatting sqref="H6">
    <cfRule type="expression" dxfId="6" priority="6">
      <formula>$H$6="OK"</formula>
    </cfRule>
  </conditionalFormatting>
  <conditionalFormatting sqref="G7">
    <cfRule type="expression" dxfId="5" priority="5">
      <formula>$G$7="OK"</formula>
    </cfRule>
  </conditionalFormatting>
  <conditionalFormatting sqref="H7">
    <cfRule type="expression" dxfId="4" priority="4">
      <formula>$H$7="OK"</formula>
    </cfRule>
  </conditionalFormatting>
  <conditionalFormatting sqref="F8">
    <cfRule type="expression" dxfId="3" priority="3">
      <formula>$F$8="OK"</formula>
    </cfRule>
  </conditionalFormatting>
  <conditionalFormatting sqref="G8">
    <cfRule type="expression" dxfId="2" priority="2">
      <formula>$G$8="OK"</formula>
    </cfRule>
  </conditionalFormatting>
  <conditionalFormatting sqref="H8">
    <cfRule type="expression" dxfId="1" priority="1">
      <formula>$H$8="OK"</formula>
    </cfRule>
  </conditionalFormatting>
  <dataValidations count="2">
    <dataValidation type="list" allowBlank="1" showInputMessage="1" showErrorMessage="1" sqref="C26:C27 C31:C33 C108 C52 C57 C110 C73:C78 C82:C87 C65:C70 C103 C106 C90:C95" xr:uid="{00000000-0002-0000-0400-000000000000}">
      <formula1>"Y,N"</formula1>
    </dataValidation>
    <dataValidation type="list" allowBlank="1" showInputMessage="1" showErrorMessage="1" sqref="C54" xr:uid="{00000000-0002-0000-0400-000001000000}">
      <formula1>"1,2,3"</formula1>
    </dataValidation>
  </dataValidations>
  <pageMargins left="0.23622047244094491" right="0.23622047244094491" top="0.74803149606299213" bottom="0.74803149606299213" header="0.31496062992125984" footer="0.31496062992125984"/>
  <pageSetup scale="96" orientation="portrait" r:id="rId1"/>
  <headerFooter>
    <oddHeader>&amp;RGM RB: 2016 Score Card Ver. 1
(w.e.f 02 January  2019)</oddHeader>
    <oddFooter>&amp;RPage &amp;P of &amp;N</oddFooter>
  </headerFooter>
  <rowBreaks count="2" manualBreakCount="2">
    <brk id="43" max="16383" man="1"/>
    <brk id="1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238125</xdr:colOff>
                    <xdr:row>3</xdr:row>
                    <xdr:rowOff>142875</xdr:rowOff>
                  </from>
                  <to>
                    <xdr:col>6</xdr:col>
                    <xdr:colOff>542925</xdr:colOff>
                    <xdr:row>5</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H122"/>
  <sheetViews>
    <sheetView topLeftCell="A49" zoomScale="115" zoomScaleNormal="115" zoomScaleSheetLayoutView="115" workbookViewId="0">
      <selection activeCell="B55" sqref="B55"/>
    </sheetView>
  </sheetViews>
  <sheetFormatPr defaultRowHeight="10.5" x14ac:dyDescent="0.15"/>
  <cols>
    <col min="1" max="1" width="5.140625" style="115" customWidth="1"/>
    <col min="2" max="2" width="37.42578125" style="115" customWidth="1"/>
    <col min="3" max="3" width="8.7109375" style="115" customWidth="1"/>
    <col min="4" max="4" width="7.28515625" style="115" customWidth="1"/>
    <col min="5" max="5" width="15" style="115" hidden="1" customWidth="1"/>
    <col min="6" max="8" width="13.85546875" style="115" customWidth="1"/>
    <col min="9" max="16384" width="9.140625" style="115"/>
  </cols>
  <sheetData>
    <row r="1" spans="1:8" s="113" customFormat="1" ht="18" customHeight="1" x14ac:dyDescent="0.2">
      <c r="A1" s="107" t="s">
        <v>198</v>
      </c>
      <c r="B1" s="108"/>
      <c r="C1" s="109"/>
      <c r="D1" s="110"/>
      <c r="E1" s="111" t="s">
        <v>57</v>
      </c>
      <c r="F1" s="112"/>
      <c r="G1" s="109"/>
      <c r="H1" s="109"/>
    </row>
    <row r="2" spans="1:8" s="113" customFormat="1" ht="12" x14ac:dyDescent="0.2">
      <c r="A2" s="114"/>
      <c r="B2" s="114"/>
      <c r="C2" s="114"/>
      <c r="D2" s="114"/>
      <c r="E2" s="114"/>
      <c r="F2" s="114"/>
      <c r="G2" s="114"/>
      <c r="H2" s="114"/>
    </row>
    <row r="3" spans="1:8" x14ac:dyDescent="0.15">
      <c r="A3" s="268" t="s">
        <v>357</v>
      </c>
      <c r="B3" s="268"/>
      <c r="C3" s="268"/>
      <c r="D3" s="114"/>
      <c r="E3" s="114"/>
      <c r="F3" s="269" t="s">
        <v>354</v>
      </c>
      <c r="G3" s="269"/>
      <c r="H3" s="269"/>
    </row>
    <row r="4" spans="1:8" ht="12" x14ac:dyDescent="0.15">
      <c r="A4" s="268"/>
      <c r="B4" s="268"/>
      <c r="C4" s="268"/>
      <c r="D4" s="114"/>
      <c r="E4" s="114"/>
      <c r="F4" s="116" t="s">
        <v>355</v>
      </c>
      <c r="G4" s="116" t="s">
        <v>356</v>
      </c>
      <c r="H4" s="117" t="s">
        <v>337</v>
      </c>
    </row>
    <row r="5" spans="1:8" ht="15.75" customHeight="1" x14ac:dyDescent="0.15">
      <c r="A5" s="118" t="s">
        <v>319</v>
      </c>
      <c r="B5" s="119" t="s">
        <v>315</v>
      </c>
      <c r="C5" s="120"/>
      <c r="D5" s="120"/>
      <c r="E5" s="137" t="b">
        <v>0</v>
      </c>
      <c r="F5" s="264"/>
      <c r="G5" s="264"/>
      <c r="H5" s="264"/>
    </row>
    <row r="6" spans="1:8" x14ac:dyDescent="0.15">
      <c r="A6" s="118"/>
      <c r="B6" s="119"/>
      <c r="C6" s="120"/>
      <c r="D6" s="120"/>
      <c r="E6" s="121"/>
      <c r="F6" s="121"/>
      <c r="G6" s="120"/>
      <c r="H6" s="121"/>
    </row>
    <row r="7" spans="1:8" ht="15.75" customHeight="1" x14ac:dyDescent="0.15">
      <c r="A7" s="272">
        <v>4.0999999999999996</v>
      </c>
      <c r="B7" s="271" t="s">
        <v>125</v>
      </c>
      <c r="C7" s="271"/>
      <c r="D7" s="122"/>
      <c r="E7" s="121"/>
      <c r="F7" s="270" t="s">
        <v>353</v>
      </c>
      <c r="G7" s="123" t="s">
        <v>55</v>
      </c>
      <c r="H7" s="123" t="s">
        <v>56</v>
      </c>
    </row>
    <row r="8" spans="1:8" s="113" customFormat="1" ht="12" x14ac:dyDescent="0.2">
      <c r="A8" s="272"/>
      <c r="B8" s="271"/>
      <c r="C8" s="271"/>
      <c r="D8" s="124"/>
      <c r="E8" s="125"/>
      <c r="F8" s="270"/>
      <c r="G8" s="126">
        <f>SUM(G12,G22)</f>
        <v>0</v>
      </c>
      <c r="H8" s="126">
        <v>8</v>
      </c>
    </row>
    <row r="9" spans="1:8" x14ac:dyDescent="0.15">
      <c r="A9" s="118" t="s">
        <v>422</v>
      </c>
      <c r="B9" s="119" t="s">
        <v>126</v>
      </c>
      <c r="C9" s="120"/>
      <c r="D9" s="120"/>
      <c r="E9" s="121"/>
      <c r="F9" s="121"/>
      <c r="G9" s="120"/>
      <c r="H9" s="121"/>
    </row>
    <row r="10" spans="1:8" x14ac:dyDescent="0.15">
      <c r="A10" s="118"/>
      <c r="B10" s="119" t="s">
        <v>127</v>
      </c>
      <c r="C10" s="50"/>
      <c r="D10" s="120" t="s">
        <v>358</v>
      </c>
      <c r="E10" s="120">
        <f>IF(C10="Y",1,0)</f>
        <v>0</v>
      </c>
      <c r="F10" s="121"/>
      <c r="G10" s="267">
        <f>IF(SUM(E10:E11)&gt;=2,2,SUM(E10:E11))</f>
        <v>0</v>
      </c>
      <c r="H10" s="273">
        <v>2</v>
      </c>
    </row>
    <row r="11" spans="1:8" x14ac:dyDescent="0.15">
      <c r="A11" s="118"/>
      <c r="B11" s="119" t="s">
        <v>128</v>
      </c>
      <c r="C11" s="50"/>
      <c r="D11" s="120" t="s">
        <v>358</v>
      </c>
      <c r="E11" s="120">
        <f>IF(C11="Y",2,0)</f>
        <v>0</v>
      </c>
      <c r="F11" s="121"/>
      <c r="G11" s="267"/>
      <c r="H11" s="273"/>
    </row>
    <row r="12" spans="1:8" x14ac:dyDescent="0.15">
      <c r="A12" s="118"/>
      <c r="B12" s="119"/>
      <c r="C12" s="120"/>
      <c r="D12" s="120"/>
      <c r="E12" s="120"/>
      <c r="F12" s="127" t="s">
        <v>460</v>
      </c>
      <c r="G12" s="122">
        <f>SUM(G10)</f>
        <v>0</v>
      </c>
      <c r="H12" s="121"/>
    </row>
    <row r="13" spans="1:8" x14ac:dyDescent="0.15">
      <c r="A13" s="118"/>
      <c r="B13" s="119"/>
      <c r="C13" s="120"/>
      <c r="D13" s="120"/>
      <c r="E13" s="120"/>
      <c r="F13" s="121"/>
      <c r="G13" s="120"/>
      <c r="H13" s="121"/>
    </row>
    <row r="14" spans="1:8" x14ac:dyDescent="0.15">
      <c r="A14" s="118" t="s">
        <v>423</v>
      </c>
      <c r="B14" s="119" t="s">
        <v>129</v>
      </c>
      <c r="C14" s="120"/>
      <c r="D14" s="120"/>
      <c r="E14" s="120"/>
      <c r="F14" s="121"/>
      <c r="G14" s="120"/>
      <c r="H14" s="121"/>
    </row>
    <row r="15" spans="1:8" ht="21" x14ac:dyDescent="0.15">
      <c r="A15" s="118" t="s">
        <v>23</v>
      </c>
      <c r="B15" s="119" t="s">
        <v>130</v>
      </c>
      <c r="C15" s="120"/>
      <c r="D15" s="120"/>
      <c r="E15" s="120"/>
      <c r="F15" s="121"/>
      <c r="G15" s="120"/>
      <c r="H15" s="121"/>
    </row>
    <row r="16" spans="1:8" x14ac:dyDescent="0.15">
      <c r="A16" s="118"/>
      <c r="B16" s="119" t="s">
        <v>131</v>
      </c>
      <c r="C16" s="50"/>
      <c r="D16" s="120" t="s">
        <v>358</v>
      </c>
      <c r="E16" s="120">
        <f>IF(C16="Y",1,0)</f>
        <v>0</v>
      </c>
      <c r="F16" s="121"/>
      <c r="G16" s="267">
        <f>IF(SUM(E16:E17)&gt;=3,3,SUM(E16:E17))</f>
        <v>0</v>
      </c>
      <c r="H16" s="273">
        <v>3</v>
      </c>
    </row>
    <row r="17" spans="1:8" x14ac:dyDescent="0.15">
      <c r="A17" s="118"/>
      <c r="B17" s="119" t="s">
        <v>132</v>
      </c>
      <c r="C17" s="50"/>
      <c r="D17" s="120" t="s">
        <v>358</v>
      </c>
      <c r="E17" s="120">
        <f>IF(C17="Y",3,0)</f>
        <v>0</v>
      </c>
      <c r="F17" s="121"/>
      <c r="G17" s="267"/>
      <c r="H17" s="273"/>
    </row>
    <row r="18" spans="1:8" x14ac:dyDescent="0.15">
      <c r="A18" s="118"/>
      <c r="B18" s="119"/>
      <c r="C18" s="120"/>
      <c r="D18" s="120"/>
      <c r="E18" s="120"/>
      <c r="F18" s="121"/>
      <c r="G18" s="120"/>
      <c r="H18" s="121"/>
    </row>
    <row r="19" spans="1:8" ht="42" x14ac:dyDescent="0.15">
      <c r="A19" s="118" t="s">
        <v>25</v>
      </c>
      <c r="B19" s="119" t="s">
        <v>133</v>
      </c>
      <c r="C19" s="50"/>
      <c r="D19" s="120" t="s">
        <v>358</v>
      </c>
      <c r="E19" s="120">
        <f>IF(C19="Y",1,0)</f>
        <v>0</v>
      </c>
      <c r="F19" s="121"/>
      <c r="G19" s="120">
        <f>E19</f>
        <v>0</v>
      </c>
      <c r="H19" s="128">
        <v>1</v>
      </c>
    </row>
    <row r="20" spans="1:8" x14ac:dyDescent="0.15">
      <c r="A20" s="118"/>
      <c r="B20" s="119"/>
      <c r="C20" s="129"/>
      <c r="D20" s="120"/>
      <c r="E20" s="120"/>
      <c r="F20" s="121"/>
      <c r="G20" s="120"/>
      <c r="H20" s="121"/>
    </row>
    <row r="21" spans="1:8" ht="31.5" x14ac:dyDescent="0.15">
      <c r="A21" s="118" t="s">
        <v>29</v>
      </c>
      <c r="B21" s="119" t="s">
        <v>134</v>
      </c>
      <c r="C21" s="50"/>
      <c r="D21" s="120" t="s">
        <v>360</v>
      </c>
      <c r="E21" s="120">
        <f>IF((AND(C21&gt;=50,C21&lt;90)),1,0)</f>
        <v>0</v>
      </c>
      <c r="F21" s="121"/>
      <c r="G21" s="120">
        <f>IF(C21&lt;=100,(IF(SUM(E21:E22)&gt;=2,2,SUM(E21:E22))),"Error")</f>
        <v>0</v>
      </c>
      <c r="H21" s="128">
        <v>2</v>
      </c>
    </row>
    <row r="22" spans="1:8" x14ac:dyDescent="0.15">
      <c r="A22" s="118"/>
      <c r="B22" s="119"/>
      <c r="C22" s="129"/>
      <c r="D22" s="120"/>
      <c r="E22" s="120">
        <f>IF(C21&gt;=90,2,0)</f>
        <v>0</v>
      </c>
      <c r="F22" s="127" t="s">
        <v>461</v>
      </c>
      <c r="G22" s="122">
        <f>SUM(G16:G21)</f>
        <v>0</v>
      </c>
      <c r="H22" s="121"/>
    </row>
    <row r="23" spans="1:8" x14ac:dyDescent="0.15">
      <c r="A23" s="118"/>
      <c r="B23" s="119"/>
      <c r="C23" s="120"/>
      <c r="D23" s="120"/>
      <c r="E23" s="120"/>
      <c r="F23" s="121"/>
      <c r="G23" s="120"/>
      <c r="H23" s="121"/>
    </row>
    <row r="24" spans="1:8" s="113" customFormat="1" ht="12" x14ac:dyDescent="0.2">
      <c r="A24" s="130">
        <v>4.2</v>
      </c>
      <c r="B24" s="108" t="s">
        <v>135</v>
      </c>
      <c r="C24" s="112"/>
      <c r="D24" s="110"/>
      <c r="E24" s="125"/>
      <c r="F24" s="131"/>
      <c r="G24" s="126">
        <f>SUM(G49,G56,G92)</f>
        <v>0</v>
      </c>
      <c r="H24" s="126">
        <v>9</v>
      </c>
    </row>
    <row r="25" spans="1:8" x14ac:dyDescent="0.15">
      <c r="A25" s="118" t="s">
        <v>424</v>
      </c>
      <c r="B25" s="119" t="s">
        <v>136</v>
      </c>
      <c r="C25" s="120"/>
      <c r="D25" s="120"/>
      <c r="E25" s="121"/>
      <c r="F25" s="121"/>
      <c r="G25" s="120"/>
      <c r="H25" s="121"/>
    </row>
    <row r="26" spans="1:8" x14ac:dyDescent="0.15">
      <c r="A26" s="118" t="s">
        <v>23</v>
      </c>
      <c r="B26" s="119" t="s">
        <v>500</v>
      </c>
      <c r="C26" s="120"/>
      <c r="D26" s="120"/>
      <c r="E26" s="121"/>
      <c r="F26" s="121"/>
      <c r="G26" s="120"/>
      <c r="H26" s="121"/>
    </row>
    <row r="27" spans="1:8" x14ac:dyDescent="0.15">
      <c r="A27" s="118"/>
      <c r="B27" s="119" t="s">
        <v>481</v>
      </c>
      <c r="C27" s="120"/>
      <c r="D27" s="120"/>
      <c r="E27" s="121"/>
      <c r="F27" s="121"/>
      <c r="G27" s="120"/>
      <c r="H27" s="121"/>
    </row>
    <row r="28" spans="1:8" x14ac:dyDescent="0.15">
      <c r="A28" s="118"/>
      <c r="B28" s="132" t="s">
        <v>1</v>
      </c>
      <c r="C28" s="120"/>
      <c r="D28" s="120"/>
      <c r="E28" s="121"/>
      <c r="F28" s="121"/>
      <c r="G28" s="120"/>
      <c r="H28" s="121"/>
    </row>
    <row r="29" spans="1:8" x14ac:dyDescent="0.15">
      <c r="A29" s="118"/>
      <c r="B29" s="119" t="s">
        <v>137</v>
      </c>
      <c r="C29" s="120"/>
      <c r="D29" s="120"/>
      <c r="E29" s="121"/>
      <c r="F29" s="121"/>
      <c r="G29" s="120"/>
      <c r="H29" s="121"/>
    </row>
    <row r="30" spans="1:8" x14ac:dyDescent="0.15">
      <c r="A30" s="118"/>
      <c r="B30" s="119"/>
      <c r="C30" s="120"/>
      <c r="D30" s="120"/>
      <c r="E30" s="121"/>
      <c r="F30" s="121"/>
      <c r="G30" s="120"/>
      <c r="H30" s="121"/>
    </row>
    <row r="31" spans="1:8" x14ac:dyDescent="0.15">
      <c r="A31" s="118"/>
      <c r="B31" s="119" t="s">
        <v>275</v>
      </c>
      <c r="C31" s="50"/>
      <c r="D31" s="120" t="s">
        <v>361</v>
      </c>
      <c r="E31" s="121"/>
      <c r="F31" s="121"/>
      <c r="G31" s="267">
        <f>IF(SUM(E32:E33)&gt;=3,3,SUM(E32:E33))</f>
        <v>0</v>
      </c>
      <c r="H31" s="273">
        <v>3</v>
      </c>
    </row>
    <row r="32" spans="1:8" x14ac:dyDescent="0.15">
      <c r="A32" s="118"/>
      <c r="B32" s="119" t="s">
        <v>138</v>
      </c>
      <c r="C32" s="50"/>
      <c r="D32" s="120" t="s">
        <v>359</v>
      </c>
      <c r="E32" s="120">
        <f>IF(C33&lt;&gt;0,(IF(C31="Exemplary",(C32/C33*3),0)),0)</f>
        <v>0</v>
      </c>
      <c r="F32" s="121"/>
      <c r="G32" s="267"/>
      <c r="H32" s="273"/>
    </row>
    <row r="33" spans="1:8" x14ac:dyDescent="0.15">
      <c r="A33" s="118"/>
      <c r="B33" s="119" t="s">
        <v>139</v>
      </c>
      <c r="C33" s="50"/>
      <c r="D33" s="120" t="s">
        <v>359</v>
      </c>
      <c r="E33" s="120">
        <f>IF(C33&lt;&gt;0,(IF(C31="Acceptable",(C32/C33*2),0)),0)</f>
        <v>0</v>
      </c>
      <c r="F33" s="121"/>
      <c r="G33" s="267"/>
      <c r="H33" s="273"/>
    </row>
    <row r="34" spans="1:8" x14ac:dyDescent="0.15">
      <c r="A34" s="118"/>
      <c r="B34" s="119"/>
      <c r="C34" s="133"/>
      <c r="D34" s="120"/>
      <c r="E34" s="121"/>
      <c r="F34" s="121"/>
      <c r="G34" s="120"/>
      <c r="H34" s="120"/>
    </row>
    <row r="35" spans="1:8" x14ac:dyDescent="0.15">
      <c r="A35" s="118"/>
      <c r="B35" s="119"/>
      <c r="C35" s="120"/>
      <c r="D35" s="120"/>
      <c r="E35" s="121"/>
      <c r="F35" s="121"/>
      <c r="G35" s="120"/>
      <c r="H35" s="121"/>
    </row>
    <row r="36" spans="1:8" x14ac:dyDescent="0.15">
      <c r="A36" s="118" t="s">
        <v>25</v>
      </c>
      <c r="B36" s="134" t="s">
        <v>140</v>
      </c>
      <c r="C36" s="120"/>
      <c r="D36" s="120"/>
      <c r="E36" s="121"/>
      <c r="F36" s="121"/>
      <c r="G36" s="120"/>
      <c r="H36" s="121"/>
    </row>
    <row r="37" spans="1:8" ht="21" x14ac:dyDescent="0.15">
      <c r="A37" s="118"/>
      <c r="B37" s="134" t="s">
        <v>141</v>
      </c>
      <c r="C37" s="120"/>
      <c r="D37" s="120"/>
      <c r="E37" s="121"/>
      <c r="F37" s="121"/>
      <c r="G37" s="120"/>
      <c r="H37" s="121"/>
    </row>
    <row r="38" spans="1:8" x14ac:dyDescent="0.15">
      <c r="A38" s="118"/>
      <c r="B38" s="119" t="s">
        <v>142</v>
      </c>
      <c r="C38" s="50"/>
      <c r="D38" s="120" t="s">
        <v>358</v>
      </c>
      <c r="E38" s="120">
        <f>IF(C38="Y",0.5,0)</f>
        <v>0</v>
      </c>
      <c r="F38" s="121"/>
      <c r="G38" s="267">
        <f>IF(SUM(E38:E40)&gt;=0.5,0.5,SUM(E38:E40))</f>
        <v>0</v>
      </c>
      <c r="H38" s="273">
        <v>0.5</v>
      </c>
    </row>
    <row r="39" spans="1:8" x14ac:dyDescent="0.15">
      <c r="A39" s="118"/>
      <c r="B39" s="119" t="s">
        <v>143</v>
      </c>
      <c r="C39" s="50"/>
      <c r="D39" s="120" t="s">
        <v>358</v>
      </c>
      <c r="E39" s="120">
        <f>IF(C39="Y",0.5,0)</f>
        <v>0</v>
      </c>
      <c r="F39" s="121"/>
      <c r="G39" s="267"/>
      <c r="H39" s="273"/>
    </row>
    <row r="40" spans="1:8" ht="21" x14ac:dyDescent="0.15">
      <c r="A40" s="118"/>
      <c r="B40" s="119" t="s">
        <v>144</v>
      </c>
      <c r="C40" s="50"/>
      <c r="D40" s="120" t="s">
        <v>358</v>
      </c>
      <c r="E40" s="120">
        <f>IF(C40="Y",0.5,0)</f>
        <v>0</v>
      </c>
      <c r="F40" s="121"/>
      <c r="G40" s="267"/>
      <c r="H40" s="273"/>
    </row>
    <row r="41" spans="1:8" x14ac:dyDescent="0.15">
      <c r="A41" s="118"/>
      <c r="B41" s="119"/>
      <c r="C41" s="120"/>
      <c r="D41" s="120"/>
      <c r="E41" s="121"/>
      <c r="F41" s="121"/>
      <c r="G41" s="120"/>
      <c r="H41" s="121"/>
    </row>
    <row r="42" spans="1:8" x14ac:dyDescent="0.15">
      <c r="A42" s="118" t="s">
        <v>29</v>
      </c>
      <c r="B42" s="119" t="s">
        <v>145</v>
      </c>
      <c r="C42" s="120"/>
      <c r="D42" s="120"/>
      <c r="E42" s="121"/>
      <c r="F42" s="121"/>
      <c r="G42" s="120"/>
      <c r="H42" s="121"/>
    </row>
    <row r="43" spans="1:8" x14ac:dyDescent="0.15">
      <c r="A43" s="118"/>
      <c r="B43" s="119" t="s">
        <v>146</v>
      </c>
      <c r="C43" s="50"/>
      <c r="D43" s="120" t="s">
        <v>358</v>
      </c>
      <c r="E43" s="120">
        <f>IF(C43="Y",C44/100*0.5,0)</f>
        <v>0</v>
      </c>
      <c r="F43" s="121"/>
      <c r="G43" s="267">
        <f>IF(SUM(E43,E45,E47)&gt;=1.5,1.5,SUM(E43,E45,E47))</f>
        <v>0</v>
      </c>
      <c r="H43" s="273">
        <v>1.5</v>
      </c>
    </row>
    <row r="44" spans="1:8" x14ac:dyDescent="0.15">
      <c r="A44" s="118"/>
      <c r="B44" s="135" t="s">
        <v>276</v>
      </c>
      <c r="C44" s="50"/>
      <c r="D44" s="120" t="s">
        <v>360</v>
      </c>
      <c r="E44" s="120"/>
      <c r="F44" s="121"/>
      <c r="G44" s="267"/>
      <c r="H44" s="273"/>
    </row>
    <row r="45" spans="1:8" x14ac:dyDescent="0.15">
      <c r="A45" s="118"/>
      <c r="B45" s="119" t="s">
        <v>147</v>
      </c>
      <c r="C45" s="50"/>
      <c r="D45" s="120" t="s">
        <v>358</v>
      </c>
      <c r="E45" s="120">
        <f>IF(C45="Y",C46/100*0.5,0)</f>
        <v>0</v>
      </c>
      <c r="F45" s="121"/>
      <c r="G45" s="267"/>
      <c r="H45" s="273"/>
    </row>
    <row r="46" spans="1:8" x14ac:dyDescent="0.15">
      <c r="A46" s="118"/>
      <c r="B46" s="135" t="s">
        <v>276</v>
      </c>
      <c r="C46" s="50"/>
      <c r="D46" s="120" t="s">
        <v>360</v>
      </c>
      <c r="E46" s="120"/>
      <c r="F46" s="121"/>
      <c r="G46" s="267"/>
      <c r="H46" s="273"/>
    </row>
    <row r="47" spans="1:8" x14ac:dyDescent="0.15">
      <c r="A47" s="118"/>
      <c r="B47" s="119" t="s">
        <v>148</v>
      </c>
      <c r="C47" s="50"/>
      <c r="D47" s="120" t="s">
        <v>358</v>
      </c>
      <c r="E47" s="120">
        <f>IF(C47="Y",C48/100*0.5,0)</f>
        <v>0</v>
      </c>
      <c r="F47" s="121"/>
      <c r="G47" s="267"/>
      <c r="H47" s="273"/>
    </row>
    <row r="48" spans="1:8" x14ac:dyDescent="0.15">
      <c r="A48" s="118"/>
      <c r="B48" s="135" t="s">
        <v>276</v>
      </c>
      <c r="C48" s="50"/>
      <c r="D48" s="120" t="s">
        <v>360</v>
      </c>
      <c r="E48" s="121"/>
      <c r="F48" s="121"/>
      <c r="G48" s="267"/>
      <c r="H48" s="128"/>
    </row>
    <row r="49" spans="1:8" x14ac:dyDescent="0.15">
      <c r="A49" s="118"/>
      <c r="B49" s="119"/>
      <c r="C49" s="120"/>
      <c r="D49" s="120"/>
      <c r="E49" s="121"/>
      <c r="F49" s="127" t="s">
        <v>462</v>
      </c>
      <c r="G49" s="122">
        <f>SUM(G31,G38,G43)</f>
        <v>0</v>
      </c>
      <c r="H49" s="121"/>
    </row>
    <row r="50" spans="1:8" x14ac:dyDescent="0.15">
      <c r="A50" s="118" t="s">
        <v>425</v>
      </c>
      <c r="B50" s="119" t="s">
        <v>149</v>
      </c>
      <c r="C50" s="120"/>
      <c r="D50" s="120"/>
      <c r="E50" s="121"/>
      <c r="F50" s="121"/>
      <c r="G50" s="120"/>
      <c r="H50" s="121"/>
    </row>
    <row r="51" spans="1:8" x14ac:dyDescent="0.15">
      <c r="A51" s="118" t="s">
        <v>23</v>
      </c>
      <c r="B51" s="119" t="s">
        <v>150</v>
      </c>
      <c r="C51" s="120"/>
      <c r="D51" s="120"/>
      <c r="E51" s="121"/>
      <c r="F51" s="121"/>
      <c r="G51" s="120"/>
      <c r="H51" s="121"/>
    </row>
    <row r="52" spans="1:8" ht="52.5" x14ac:dyDescent="0.15">
      <c r="A52" s="118"/>
      <c r="B52" s="119" t="s">
        <v>278</v>
      </c>
      <c r="C52" s="50"/>
      <c r="D52" s="120" t="s">
        <v>358</v>
      </c>
      <c r="E52" s="120">
        <f>IF(C52="Y",1,0)</f>
        <v>0</v>
      </c>
      <c r="F52" s="121"/>
      <c r="G52" s="120">
        <f>E52</f>
        <v>0</v>
      </c>
      <c r="H52" s="273">
        <v>2</v>
      </c>
    </row>
    <row r="53" spans="1:8" x14ac:dyDescent="0.15">
      <c r="A53" s="118"/>
      <c r="B53" s="119"/>
      <c r="C53" s="120"/>
      <c r="D53" s="120"/>
      <c r="E53" s="121"/>
      <c r="F53" s="121"/>
      <c r="G53" s="120"/>
      <c r="H53" s="273"/>
    </row>
    <row r="54" spans="1:8" x14ac:dyDescent="0.15">
      <c r="A54" s="118" t="s">
        <v>25</v>
      </c>
      <c r="B54" s="119" t="s">
        <v>151</v>
      </c>
      <c r="C54" s="120"/>
      <c r="D54" s="120"/>
      <c r="E54" s="121"/>
      <c r="F54" s="121"/>
      <c r="G54" s="120"/>
      <c r="H54" s="273"/>
    </row>
    <row r="55" spans="1:8" ht="52.5" x14ac:dyDescent="0.15">
      <c r="A55" s="118"/>
      <c r="B55" s="119" t="s">
        <v>277</v>
      </c>
      <c r="C55" s="50"/>
      <c r="D55" s="120" t="s">
        <v>358</v>
      </c>
      <c r="E55" s="120">
        <f>IF(C55="Y",1,0)</f>
        <v>0</v>
      </c>
      <c r="F55" s="121"/>
      <c r="G55" s="120">
        <f>E55</f>
        <v>0</v>
      </c>
      <c r="H55" s="273"/>
    </row>
    <row r="56" spans="1:8" x14ac:dyDescent="0.15">
      <c r="A56" s="118"/>
      <c r="B56" s="119"/>
      <c r="C56" s="120"/>
      <c r="D56" s="120"/>
      <c r="E56" s="121"/>
      <c r="F56" s="127" t="s">
        <v>463</v>
      </c>
      <c r="G56" s="122">
        <f>SUM(G52,G55)</f>
        <v>0</v>
      </c>
      <c r="H56" s="121"/>
    </row>
    <row r="57" spans="1:8" x14ac:dyDescent="0.15">
      <c r="A57" s="118" t="s">
        <v>426</v>
      </c>
      <c r="B57" s="119" t="s">
        <v>152</v>
      </c>
      <c r="C57" s="120"/>
      <c r="D57" s="120"/>
      <c r="E57" s="121"/>
      <c r="F57" s="121"/>
      <c r="G57" s="120"/>
      <c r="H57" s="121"/>
    </row>
    <row r="58" spans="1:8" x14ac:dyDescent="0.15">
      <c r="A58" s="118" t="s">
        <v>23</v>
      </c>
      <c r="B58" s="119" t="s">
        <v>153</v>
      </c>
      <c r="C58" s="120"/>
      <c r="D58" s="120"/>
      <c r="E58" s="121"/>
      <c r="F58" s="121"/>
      <c r="G58" s="120"/>
      <c r="H58" s="121"/>
    </row>
    <row r="59" spans="1:8" x14ac:dyDescent="0.15">
      <c r="A59" s="118"/>
      <c r="B59" s="119" t="s">
        <v>154</v>
      </c>
      <c r="C59" s="187"/>
      <c r="D59" s="120"/>
      <c r="E59" s="120">
        <f>IF(C59="Y",0.15,0)</f>
        <v>0</v>
      </c>
      <c r="F59" s="121"/>
      <c r="G59" s="267">
        <f>IF(SUM(E59:E88)&gt;=1,1,SUM(E59:E88))</f>
        <v>0</v>
      </c>
      <c r="H59" s="273">
        <v>1</v>
      </c>
    </row>
    <row r="60" spans="1:8" x14ac:dyDescent="0.15">
      <c r="A60" s="118"/>
      <c r="B60" s="119" t="s">
        <v>155</v>
      </c>
      <c r="C60" s="50"/>
      <c r="D60" s="120" t="s">
        <v>358</v>
      </c>
      <c r="E60" s="120">
        <f t="shared" ref="E60:E88" si="0">IF(C60="Y",0.15,0)</f>
        <v>0</v>
      </c>
      <c r="F60" s="121"/>
      <c r="G60" s="267"/>
      <c r="H60" s="273"/>
    </row>
    <row r="61" spans="1:8" x14ac:dyDescent="0.15">
      <c r="A61" s="118"/>
      <c r="B61" s="119" t="s">
        <v>156</v>
      </c>
      <c r="C61" s="50"/>
      <c r="D61" s="120" t="s">
        <v>358</v>
      </c>
      <c r="E61" s="120">
        <f t="shared" si="0"/>
        <v>0</v>
      </c>
      <c r="F61" s="121"/>
      <c r="G61" s="267"/>
      <c r="H61" s="273"/>
    </row>
    <row r="62" spans="1:8" x14ac:dyDescent="0.15">
      <c r="A62" s="118"/>
      <c r="B62" s="119" t="s">
        <v>157</v>
      </c>
      <c r="C62" s="50"/>
      <c r="D62" s="120" t="s">
        <v>358</v>
      </c>
      <c r="E62" s="120">
        <f t="shared" si="0"/>
        <v>0</v>
      </c>
      <c r="F62" s="121"/>
      <c r="G62" s="267"/>
      <c r="H62" s="273"/>
    </row>
    <row r="63" spans="1:8" x14ac:dyDescent="0.15">
      <c r="A63" s="118"/>
      <c r="B63" s="119" t="s">
        <v>158</v>
      </c>
      <c r="C63" s="50"/>
      <c r="D63" s="120" t="s">
        <v>358</v>
      </c>
      <c r="E63" s="120">
        <f t="shared" si="0"/>
        <v>0</v>
      </c>
      <c r="F63" s="121"/>
      <c r="G63" s="267"/>
      <c r="H63" s="273"/>
    </row>
    <row r="64" spans="1:8" x14ac:dyDescent="0.15">
      <c r="A64" s="118"/>
      <c r="B64" s="119" t="s">
        <v>159</v>
      </c>
      <c r="C64" s="50"/>
      <c r="D64" s="120" t="s">
        <v>358</v>
      </c>
      <c r="E64" s="120">
        <f t="shared" si="0"/>
        <v>0</v>
      </c>
      <c r="F64" s="121"/>
      <c r="G64" s="267"/>
      <c r="H64" s="273"/>
    </row>
    <row r="65" spans="1:8" x14ac:dyDescent="0.15">
      <c r="A65" s="118"/>
      <c r="B65" s="119"/>
      <c r="C65" s="120"/>
      <c r="D65" s="120"/>
      <c r="E65" s="120"/>
      <c r="F65" s="121"/>
      <c r="G65" s="267"/>
      <c r="H65" s="273"/>
    </row>
    <row r="66" spans="1:8" ht="21" x14ac:dyDescent="0.15">
      <c r="A66" s="118"/>
      <c r="B66" s="119" t="s">
        <v>160</v>
      </c>
      <c r="C66" s="120"/>
      <c r="D66" s="120"/>
      <c r="E66" s="120"/>
      <c r="F66" s="121"/>
      <c r="G66" s="267"/>
      <c r="H66" s="273"/>
    </row>
    <row r="67" spans="1:8" x14ac:dyDescent="0.15">
      <c r="A67" s="118"/>
      <c r="B67" s="119" t="s">
        <v>161</v>
      </c>
      <c r="C67" s="50"/>
      <c r="D67" s="120" t="s">
        <v>358</v>
      </c>
      <c r="E67" s="120">
        <f t="shared" si="0"/>
        <v>0</v>
      </c>
      <c r="F67" s="121"/>
      <c r="G67" s="267"/>
      <c r="H67" s="273"/>
    </row>
    <row r="68" spans="1:8" x14ac:dyDescent="0.15">
      <c r="A68" s="118"/>
      <c r="B68" s="119" t="s">
        <v>162</v>
      </c>
      <c r="C68" s="50"/>
      <c r="D68" s="120" t="s">
        <v>358</v>
      </c>
      <c r="E68" s="120">
        <f t="shared" si="0"/>
        <v>0</v>
      </c>
      <c r="F68" s="121"/>
      <c r="G68" s="267"/>
      <c r="H68" s="273"/>
    </row>
    <row r="69" spans="1:8" x14ac:dyDescent="0.15">
      <c r="A69" s="118"/>
      <c r="B69" s="119" t="s">
        <v>163</v>
      </c>
      <c r="C69" s="50"/>
      <c r="D69" s="120" t="s">
        <v>358</v>
      </c>
      <c r="E69" s="120">
        <f t="shared" si="0"/>
        <v>0</v>
      </c>
      <c r="F69" s="121"/>
      <c r="G69" s="267"/>
      <c r="H69" s="273"/>
    </row>
    <row r="70" spans="1:8" ht="21" x14ac:dyDescent="0.15">
      <c r="A70" s="118"/>
      <c r="B70" s="119" t="s">
        <v>164</v>
      </c>
      <c r="C70" s="50"/>
      <c r="D70" s="120" t="s">
        <v>358</v>
      </c>
      <c r="E70" s="120">
        <f t="shared" si="0"/>
        <v>0</v>
      </c>
      <c r="F70" s="121"/>
      <c r="G70" s="267"/>
      <c r="H70" s="273"/>
    </row>
    <row r="71" spans="1:8" x14ac:dyDescent="0.15">
      <c r="A71" s="118"/>
      <c r="B71" s="119" t="s">
        <v>165</v>
      </c>
      <c r="C71" s="50"/>
      <c r="D71" s="120" t="s">
        <v>358</v>
      </c>
      <c r="E71" s="120">
        <f t="shared" si="0"/>
        <v>0</v>
      </c>
      <c r="F71" s="121"/>
      <c r="G71" s="267"/>
      <c r="H71" s="273"/>
    </row>
    <row r="72" spans="1:8" ht="21" x14ac:dyDescent="0.15">
      <c r="A72" s="118"/>
      <c r="B72" s="119" t="s">
        <v>166</v>
      </c>
      <c r="C72" s="50"/>
      <c r="D72" s="120" t="s">
        <v>358</v>
      </c>
      <c r="E72" s="120">
        <f t="shared" si="0"/>
        <v>0</v>
      </c>
      <c r="F72" s="121"/>
      <c r="G72" s="267"/>
      <c r="H72" s="273"/>
    </row>
    <row r="73" spans="1:8" ht="21" x14ac:dyDescent="0.15">
      <c r="A73" s="118"/>
      <c r="B73" s="119" t="s">
        <v>167</v>
      </c>
      <c r="C73" s="50"/>
      <c r="D73" s="120" t="s">
        <v>358</v>
      </c>
      <c r="E73" s="120">
        <f t="shared" si="0"/>
        <v>0</v>
      </c>
      <c r="F73" s="121"/>
      <c r="G73" s="267"/>
      <c r="H73" s="273"/>
    </row>
    <row r="74" spans="1:8" x14ac:dyDescent="0.15">
      <c r="A74" s="118"/>
      <c r="B74" s="119"/>
      <c r="C74" s="120"/>
      <c r="D74" s="120"/>
      <c r="E74" s="120"/>
      <c r="F74" s="121"/>
      <c r="G74" s="267"/>
      <c r="H74" s="273"/>
    </row>
    <row r="75" spans="1:8" ht="21" x14ac:dyDescent="0.15">
      <c r="A75" s="118"/>
      <c r="B75" s="119" t="s">
        <v>168</v>
      </c>
      <c r="C75" s="120"/>
      <c r="D75" s="120"/>
      <c r="E75" s="120"/>
      <c r="F75" s="121"/>
      <c r="G75" s="267"/>
      <c r="H75" s="273"/>
    </row>
    <row r="76" spans="1:8" ht="31.5" x14ac:dyDescent="0.15">
      <c r="A76" s="118"/>
      <c r="B76" s="119" t="s">
        <v>169</v>
      </c>
      <c r="C76" s="50"/>
      <c r="D76" s="120" t="s">
        <v>358</v>
      </c>
      <c r="E76" s="120">
        <f t="shared" si="0"/>
        <v>0</v>
      </c>
      <c r="F76" s="121"/>
      <c r="G76" s="267"/>
      <c r="H76" s="273"/>
    </row>
    <row r="77" spans="1:8" ht="21" x14ac:dyDescent="0.15">
      <c r="A77" s="118"/>
      <c r="B77" s="119" t="s">
        <v>170</v>
      </c>
      <c r="C77" s="50"/>
      <c r="D77" s="120" t="s">
        <v>358</v>
      </c>
      <c r="E77" s="120">
        <f t="shared" si="0"/>
        <v>0</v>
      </c>
      <c r="F77" s="121"/>
      <c r="G77" s="267"/>
      <c r="H77" s="273"/>
    </row>
    <row r="78" spans="1:8" x14ac:dyDescent="0.15">
      <c r="A78" s="118"/>
      <c r="B78" s="119" t="s">
        <v>171</v>
      </c>
      <c r="C78" s="50"/>
      <c r="D78" s="120" t="s">
        <v>358</v>
      </c>
      <c r="E78" s="120">
        <f t="shared" si="0"/>
        <v>0</v>
      </c>
      <c r="F78" s="121"/>
      <c r="G78" s="267"/>
      <c r="H78" s="273"/>
    </row>
    <row r="79" spans="1:8" ht="42" x14ac:dyDescent="0.15">
      <c r="A79" s="118"/>
      <c r="B79" s="119" t="s">
        <v>172</v>
      </c>
      <c r="C79" s="50"/>
      <c r="D79" s="120" t="s">
        <v>358</v>
      </c>
      <c r="E79" s="120">
        <f t="shared" si="0"/>
        <v>0</v>
      </c>
      <c r="F79" s="121"/>
      <c r="G79" s="267"/>
      <c r="H79" s="273"/>
    </row>
    <row r="80" spans="1:8" ht="21" x14ac:dyDescent="0.15">
      <c r="A80" s="118"/>
      <c r="B80" s="119" t="s">
        <v>173</v>
      </c>
      <c r="C80" s="50"/>
      <c r="D80" s="120" t="s">
        <v>358</v>
      </c>
      <c r="E80" s="120">
        <f t="shared" si="0"/>
        <v>0</v>
      </c>
      <c r="F80" s="121"/>
      <c r="G80" s="267"/>
      <c r="H80" s="273"/>
    </row>
    <row r="81" spans="1:8" x14ac:dyDescent="0.15">
      <c r="A81" s="118"/>
      <c r="B81" s="119" t="s">
        <v>174</v>
      </c>
      <c r="C81" s="50"/>
      <c r="D81" s="120" t="s">
        <v>358</v>
      </c>
      <c r="E81" s="120">
        <f t="shared" si="0"/>
        <v>0</v>
      </c>
      <c r="F81" s="121"/>
      <c r="G81" s="267"/>
      <c r="H81" s="273"/>
    </row>
    <row r="82" spans="1:8" x14ac:dyDescent="0.15">
      <c r="A82" s="118"/>
      <c r="B82" s="119"/>
      <c r="C82" s="120"/>
      <c r="D82" s="120"/>
      <c r="E82" s="120"/>
      <c r="F82" s="121"/>
      <c r="G82" s="267"/>
      <c r="H82" s="273"/>
    </row>
    <row r="83" spans="1:8" ht="21" x14ac:dyDescent="0.15">
      <c r="A83" s="118"/>
      <c r="B83" s="119" t="s">
        <v>175</v>
      </c>
      <c r="C83" s="120"/>
      <c r="D83" s="120"/>
      <c r="E83" s="120"/>
      <c r="F83" s="121"/>
      <c r="G83" s="267"/>
      <c r="H83" s="273"/>
    </row>
    <row r="84" spans="1:8" x14ac:dyDescent="0.15">
      <c r="A84" s="118"/>
      <c r="B84" s="119" t="s">
        <v>176</v>
      </c>
      <c r="C84" s="50"/>
      <c r="D84" s="120" t="s">
        <v>358</v>
      </c>
      <c r="E84" s="120">
        <f t="shared" si="0"/>
        <v>0</v>
      </c>
      <c r="F84" s="121"/>
      <c r="G84" s="267"/>
      <c r="H84" s="273"/>
    </row>
    <row r="85" spans="1:8" x14ac:dyDescent="0.15">
      <c r="A85" s="118"/>
      <c r="B85" s="119" t="s">
        <v>177</v>
      </c>
      <c r="C85" s="50"/>
      <c r="D85" s="120" t="s">
        <v>358</v>
      </c>
      <c r="E85" s="120">
        <f t="shared" si="0"/>
        <v>0</v>
      </c>
      <c r="F85" s="121"/>
      <c r="G85" s="267"/>
      <c r="H85" s="273"/>
    </row>
    <row r="86" spans="1:8" x14ac:dyDescent="0.15">
      <c r="A86" s="118"/>
      <c r="B86" s="119" t="s">
        <v>178</v>
      </c>
      <c r="C86" s="50"/>
      <c r="D86" s="120" t="s">
        <v>358</v>
      </c>
      <c r="E86" s="120">
        <f t="shared" si="0"/>
        <v>0</v>
      </c>
      <c r="F86" s="121"/>
      <c r="G86" s="267"/>
      <c r="H86" s="273"/>
    </row>
    <row r="87" spans="1:8" ht="21" x14ac:dyDescent="0.15">
      <c r="A87" s="118"/>
      <c r="B87" s="119" t="s">
        <v>179</v>
      </c>
      <c r="C87" s="50"/>
      <c r="D87" s="120" t="s">
        <v>358</v>
      </c>
      <c r="E87" s="120">
        <f t="shared" si="0"/>
        <v>0</v>
      </c>
      <c r="F87" s="121"/>
      <c r="G87" s="267"/>
      <c r="H87" s="273"/>
    </row>
    <row r="88" spans="1:8" ht="21" x14ac:dyDescent="0.15">
      <c r="A88" s="118"/>
      <c r="B88" s="119" t="s">
        <v>180</v>
      </c>
      <c r="C88" s="50"/>
      <c r="D88" s="120" t="s">
        <v>358</v>
      </c>
      <c r="E88" s="120">
        <f t="shared" si="0"/>
        <v>0</v>
      </c>
      <c r="F88" s="121"/>
      <c r="G88" s="267"/>
      <c r="H88" s="273"/>
    </row>
    <row r="89" spans="1:8" x14ac:dyDescent="0.15">
      <c r="A89" s="118"/>
      <c r="B89" s="119"/>
      <c r="C89" s="120"/>
      <c r="D89" s="120"/>
      <c r="E89" s="121"/>
      <c r="F89" s="121"/>
      <c r="G89" s="120"/>
      <c r="H89" s="121"/>
    </row>
    <row r="90" spans="1:8" x14ac:dyDescent="0.15">
      <c r="A90" s="118" t="s">
        <v>25</v>
      </c>
      <c r="B90" s="119" t="s">
        <v>181</v>
      </c>
      <c r="C90" s="120"/>
      <c r="D90" s="120"/>
      <c r="E90" s="121"/>
      <c r="F90" s="121"/>
      <c r="G90" s="120"/>
      <c r="H90" s="121"/>
    </row>
    <row r="91" spans="1:8" x14ac:dyDescent="0.15">
      <c r="A91" s="118"/>
      <c r="B91" s="119" t="s">
        <v>182</v>
      </c>
      <c r="C91" s="50"/>
      <c r="D91" s="120" t="s">
        <v>361</v>
      </c>
      <c r="E91" s="120">
        <f>IF((OR(C91="Certified",C91="Gold")),0.5,0)</f>
        <v>0</v>
      </c>
      <c r="F91" s="121"/>
      <c r="G91" s="120">
        <f>SUM(E91:E92)</f>
        <v>0</v>
      </c>
      <c r="H91" s="128">
        <v>1</v>
      </c>
    </row>
    <row r="92" spans="1:8" x14ac:dyDescent="0.15">
      <c r="A92" s="118"/>
      <c r="B92" s="119"/>
      <c r="C92" s="120"/>
      <c r="D92" s="120"/>
      <c r="E92" s="120">
        <f>IF((OR(C91="Gold+",C91="Platinum")),1,0)</f>
        <v>0</v>
      </c>
      <c r="F92" s="127" t="s">
        <v>464</v>
      </c>
      <c r="G92" s="122">
        <f>SUM(G59,G91)</f>
        <v>0</v>
      </c>
      <c r="H92" s="121"/>
    </row>
    <row r="93" spans="1:8" x14ac:dyDescent="0.15">
      <c r="A93" s="118"/>
      <c r="B93" s="119"/>
      <c r="C93" s="120"/>
      <c r="D93" s="120"/>
      <c r="E93" s="121"/>
      <c r="F93" s="121"/>
      <c r="G93" s="120"/>
      <c r="H93" s="121"/>
    </row>
    <row r="94" spans="1:8" s="113" customFormat="1" ht="12" x14ac:dyDescent="0.2">
      <c r="A94" s="130">
        <v>4.3</v>
      </c>
      <c r="B94" s="108" t="s">
        <v>183</v>
      </c>
      <c r="C94" s="112"/>
      <c r="D94" s="124"/>
      <c r="E94" s="125"/>
      <c r="F94" s="131"/>
      <c r="G94" s="126">
        <f>SUM(G99,G109,G116,G120)</f>
        <v>0</v>
      </c>
      <c r="H94" s="126">
        <v>8</v>
      </c>
    </row>
    <row r="95" spans="1:8" x14ac:dyDescent="0.15">
      <c r="A95" s="118" t="s">
        <v>427</v>
      </c>
      <c r="B95" s="119" t="s">
        <v>184</v>
      </c>
      <c r="C95" s="120"/>
      <c r="D95" s="120"/>
      <c r="E95" s="121"/>
      <c r="F95" s="121"/>
      <c r="G95" s="120"/>
      <c r="H95" s="121"/>
    </row>
    <row r="96" spans="1:8" ht="31.5" x14ac:dyDescent="0.15">
      <c r="A96" s="118"/>
      <c r="B96" s="119" t="s">
        <v>185</v>
      </c>
      <c r="C96" s="50"/>
      <c r="D96" s="120" t="s">
        <v>358</v>
      </c>
      <c r="E96" s="120">
        <f>IF(C96="Y",0.5,0)</f>
        <v>0</v>
      </c>
      <c r="F96" s="121"/>
      <c r="G96" s="267">
        <f>SUM(E96:E98)</f>
        <v>0</v>
      </c>
      <c r="H96" s="273">
        <v>2</v>
      </c>
    </row>
    <row r="97" spans="1:8" ht="31.5" x14ac:dyDescent="0.15">
      <c r="A97" s="118"/>
      <c r="B97" s="119" t="s">
        <v>186</v>
      </c>
      <c r="C97" s="50"/>
      <c r="D97" s="120" t="s">
        <v>358</v>
      </c>
      <c r="E97" s="120">
        <f t="shared" ref="E97" si="1">IF(C97="Y",0.5,0)</f>
        <v>0</v>
      </c>
      <c r="F97" s="121"/>
      <c r="G97" s="267"/>
      <c r="H97" s="273"/>
    </row>
    <row r="98" spans="1:8" ht="52.5" x14ac:dyDescent="0.15">
      <c r="A98" s="118"/>
      <c r="B98" s="119" t="s">
        <v>187</v>
      </c>
      <c r="C98" s="50"/>
      <c r="D98" s="120" t="s">
        <v>358</v>
      </c>
      <c r="E98" s="120">
        <f>IF(C98="Y",1,0)</f>
        <v>0</v>
      </c>
      <c r="F98" s="121"/>
      <c r="G98" s="267"/>
      <c r="H98" s="273"/>
    </row>
    <row r="99" spans="1:8" x14ac:dyDescent="0.15">
      <c r="A99" s="118"/>
      <c r="B99" s="119"/>
      <c r="C99" s="120"/>
      <c r="D99" s="120"/>
      <c r="E99" s="120"/>
      <c r="F99" s="127" t="s">
        <v>465</v>
      </c>
      <c r="G99" s="122">
        <f>G96</f>
        <v>0</v>
      </c>
      <c r="H99" s="121"/>
    </row>
    <row r="100" spans="1:8" x14ac:dyDescent="0.15">
      <c r="A100" s="118" t="s">
        <v>428</v>
      </c>
      <c r="B100" s="119" t="s">
        <v>188</v>
      </c>
      <c r="C100" s="120"/>
      <c r="D100" s="120"/>
      <c r="E100" s="120"/>
      <c r="F100" s="121"/>
      <c r="G100" s="120"/>
      <c r="H100" s="121"/>
    </row>
    <row r="101" spans="1:8" ht="31.5" x14ac:dyDescent="0.15">
      <c r="A101" s="118"/>
      <c r="B101" s="119" t="s">
        <v>189</v>
      </c>
      <c r="C101" s="50"/>
      <c r="D101" s="120" t="s">
        <v>358</v>
      </c>
      <c r="E101" s="120">
        <f>IF(C101="Y",0.5,0)</f>
        <v>0</v>
      </c>
      <c r="F101" s="121"/>
      <c r="G101" s="267">
        <f>IF(SUM(E101:E103,E105)&gt;=2,2,SUM(E101:E103,E105))</f>
        <v>0</v>
      </c>
      <c r="H101" s="273">
        <v>2</v>
      </c>
    </row>
    <row r="102" spans="1:8" ht="21" x14ac:dyDescent="0.15">
      <c r="A102" s="118"/>
      <c r="B102" s="119" t="s">
        <v>190</v>
      </c>
      <c r="C102" s="50"/>
      <c r="D102" s="120" t="s">
        <v>358</v>
      </c>
      <c r="E102" s="120">
        <f t="shared" ref="E102:E103" si="2">IF(C102="Y",0.5,0)</f>
        <v>0</v>
      </c>
      <c r="F102" s="121"/>
      <c r="G102" s="267"/>
      <c r="H102" s="273"/>
    </row>
    <row r="103" spans="1:8" ht="21" x14ac:dyDescent="0.15">
      <c r="A103" s="118"/>
      <c r="B103" s="119" t="s">
        <v>191</v>
      </c>
      <c r="C103" s="50"/>
      <c r="D103" s="120" t="s">
        <v>358</v>
      </c>
      <c r="E103" s="120">
        <f t="shared" si="2"/>
        <v>0</v>
      </c>
      <c r="F103" s="121"/>
      <c r="G103" s="267"/>
      <c r="H103" s="273"/>
    </row>
    <row r="104" spans="1:8" ht="21" x14ac:dyDescent="0.15">
      <c r="A104" s="118"/>
      <c r="B104" s="119" t="s">
        <v>279</v>
      </c>
      <c r="C104" s="121"/>
      <c r="D104" s="121"/>
      <c r="E104" s="120"/>
      <c r="F104" s="121"/>
      <c r="G104" s="267"/>
      <c r="H104" s="273"/>
    </row>
    <row r="105" spans="1:8" ht="22.5" customHeight="1" x14ac:dyDescent="0.15">
      <c r="A105" s="118"/>
      <c r="B105" s="138"/>
      <c r="C105" s="274"/>
      <c r="D105" s="275" t="s">
        <v>362</v>
      </c>
      <c r="E105" s="267">
        <f>IF((IF(C105&lt;&gt;0,C105*0.5,0))&gt;=2,2,(IF(C105&lt;&gt;0,C105*0.5,0)))</f>
        <v>0</v>
      </c>
      <c r="F105" s="121"/>
      <c r="G105" s="267"/>
      <c r="H105" s="273"/>
    </row>
    <row r="106" spans="1:8" ht="22.5" customHeight="1" x14ac:dyDescent="0.15">
      <c r="A106" s="118"/>
      <c r="B106" s="139"/>
      <c r="C106" s="274"/>
      <c r="D106" s="275"/>
      <c r="E106" s="267"/>
      <c r="F106" s="121"/>
      <c r="G106" s="267"/>
      <c r="H106" s="273"/>
    </row>
    <row r="107" spans="1:8" ht="22.5" customHeight="1" x14ac:dyDescent="0.15">
      <c r="A107" s="118"/>
      <c r="B107" s="139"/>
      <c r="C107" s="274"/>
      <c r="D107" s="275"/>
      <c r="E107" s="267"/>
      <c r="F107" s="121"/>
      <c r="G107" s="267"/>
      <c r="H107" s="273"/>
    </row>
    <row r="108" spans="1:8" ht="22.5" customHeight="1" x14ac:dyDescent="0.15">
      <c r="A108" s="118"/>
      <c r="B108" s="139"/>
      <c r="C108" s="274"/>
      <c r="D108" s="275"/>
      <c r="E108" s="267"/>
      <c r="F108" s="121"/>
      <c r="G108" s="267"/>
      <c r="H108" s="273"/>
    </row>
    <row r="109" spans="1:8" x14ac:dyDescent="0.15">
      <c r="A109" s="118"/>
      <c r="B109" s="119"/>
      <c r="C109" s="120"/>
      <c r="D109" s="120"/>
      <c r="E109" s="120"/>
      <c r="F109" s="127" t="s">
        <v>466</v>
      </c>
      <c r="G109" s="122">
        <f>G101</f>
        <v>0</v>
      </c>
      <c r="H109" s="121"/>
    </row>
    <row r="110" spans="1:8" x14ac:dyDescent="0.15">
      <c r="A110" s="118" t="s">
        <v>429</v>
      </c>
      <c r="B110" s="119" t="s">
        <v>192</v>
      </c>
      <c r="C110" s="120"/>
      <c r="D110" s="120"/>
      <c r="E110" s="120"/>
      <c r="F110" s="121"/>
      <c r="G110" s="120"/>
      <c r="H110" s="121"/>
    </row>
    <row r="111" spans="1:8" ht="31.5" x14ac:dyDescent="0.15">
      <c r="A111" s="118"/>
      <c r="B111" s="119" t="s">
        <v>193</v>
      </c>
      <c r="C111" s="50"/>
      <c r="D111" s="120" t="s">
        <v>358</v>
      </c>
      <c r="E111" s="120">
        <f t="shared" ref="E111:E119" si="3">IF(C111="Y",1,0)</f>
        <v>0</v>
      </c>
      <c r="F111" s="121"/>
      <c r="G111" s="267">
        <f>IF(SUM(E111,E112,E114)&gt;=2,2,SUM(E111,E112,E114))</f>
        <v>0</v>
      </c>
      <c r="H111" s="273">
        <v>2</v>
      </c>
    </row>
    <row r="112" spans="1:8" ht="21" x14ac:dyDescent="0.15">
      <c r="A112" s="118"/>
      <c r="B112" s="119" t="s">
        <v>194</v>
      </c>
      <c r="C112" s="50"/>
      <c r="D112" s="120" t="s">
        <v>358</v>
      </c>
      <c r="E112" s="120">
        <f t="shared" si="3"/>
        <v>0</v>
      </c>
      <c r="F112" s="121"/>
      <c r="G112" s="267"/>
      <c r="H112" s="273"/>
    </row>
    <row r="113" spans="1:8" ht="21" x14ac:dyDescent="0.15">
      <c r="A113" s="118"/>
      <c r="B113" s="119" t="s">
        <v>279</v>
      </c>
      <c r="C113" s="121"/>
      <c r="D113" s="121"/>
      <c r="E113" s="121"/>
      <c r="F113" s="121"/>
      <c r="G113" s="267"/>
      <c r="H113" s="273"/>
    </row>
    <row r="114" spans="1:8" ht="19.5" customHeight="1" x14ac:dyDescent="0.15">
      <c r="A114" s="118"/>
      <c r="B114" s="140"/>
      <c r="C114" s="277"/>
      <c r="D114" s="275" t="s">
        <v>363</v>
      </c>
      <c r="E114" s="267">
        <f>IF((IF(C114&lt;&gt;0,C114*1,0))&gt;=2,2,(IF(C114&lt;&gt;0,C114*1,0)))</f>
        <v>0</v>
      </c>
      <c r="F114" s="121"/>
      <c r="G114" s="267"/>
      <c r="H114" s="273"/>
    </row>
    <row r="115" spans="1:8" ht="19.5" customHeight="1" x14ac:dyDescent="0.15">
      <c r="A115" s="118"/>
      <c r="B115" s="141"/>
      <c r="C115" s="277"/>
      <c r="D115" s="275"/>
      <c r="E115" s="267"/>
      <c r="F115" s="121"/>
      <c r="G115" s="267"/>
      <c r="H115" s="273"/>
    </row>
    <row r="116" spans="1:8" x14ac:dyDescent="0.15">
      <c r="A116" s="118"/>
      <c r="B116" s="119"/>
      <c r="C116" s="120"/>
      <c r="D116" s="120"/>
      <c r="E116" s="120"/>
      <c r="F116" s="127" t="s">
        <v>467</v>
      </c>
      <c r="G116" s="122">
        <f>G111</f>
        <v>0</v>
      </c>
      <c r="H116" s="121"/>
    </row>
    <row r="117" spans="1:8" x14ac:dyDescent="0.15">
      <c r="A117" s="118" t="s">
        <v>430</v>
      </c>
      <c r="B117" s="119" t="s">
        <v>195</v>
      </c>
      <c r="C117" s="120"/>
      <c r="D117" s="120"/>
      <c r="E117" s="120"/>
      <c r="F117" s="121"/>
      <c r="G117" s="120"/>
      <c r="H117" s="121"/>
    </row>
    <row r="118" spans="1:8" ht="73.5" x14ac:dyDescent="0.15">
      <c r="A118" s="121"/>
      <c r="B118" s="134" t="s">
        <v>196</v>
      </c>
      <c r="C118" s="50"/>
      <c r="D118" s="120" t="s">
        <v>358</v>
      </c>
      <c r="E118" s="120">
        <f t="shared" si="3"/>
        <v>0</v>
      </c>
      <c r="F118" s="121"/>
      <c r="G118" s="267">
        <f>SUM(E118:E119)</f>
        <v>0</v>
      </c>
      <c r="H118" s="273">
        <v>2</v>
      </c>
    </row>
    <row r="119" spans="1:8" ht="63" x14ac:dyDescent="0.15">
      <c r="A119" s="121"/>
      <c r="B119" s="134" t="s">
        <v>197</v>
      </c>
      <c r="C119" s="50"/>
      <c r="D119" s="120" t="s">
        <v>358</v>
      </c>
      <c r="E119" s="120">
        <f t="shared" si="3"/>
        <v>0</v>
      </c>
      <c r="F119" s="121"/>
      <c r="G119" s="267"/>
      <c r="H119" s="273"/>
    </row>
    <row r="120" spans="1:8" x14ac:dyDescent="0.15">
      <c r="F120" s="127" t="s">
        <v>468</v>
      </c>
      <c r="G120" s="136">
        <f>G118</f>
        <v>0</v>
      </c>
    </row>
    <row r="122" spans="1:8" x14ac:dyDescent="0.15">
      <c r="A122" s="276"/>
      <c r="B122" s="276"/>
      <c r="C122" s="276"/>
      <c r="D122" s="276"/>
      <c r="E122" s="276"/>
      <c r="F122" s="276"/>
      <c r="G122" s="276"/>
      <c r="H122" s="276"/>
    </row>
  </sheetData>
  <sheetProtection algorithmName="SHA-512" hashValue="xwmKtKYRx6uUW5YbvAbcKmYHjjIFb/8QzN/li9guTC5ABPu6UrFZzvD7x+QkROywXXXk2wVzy3Dr/VMu9ZOa1g==" saltValue="tZkROYSYxMyNIB9bNgsHMw==" spinCount="100000" sheet="1"/>
  <protectedRanges>
    <protectedRange sqref="C84:C88 C10:C11 C16:C17 C19 C52 C38:C40 C43 C55 C96:C98 C118:C119 C59:C64 C67:C73 C76:C81 C32 C45 C47 C101:C103 C105:C108 C111:C112 C114:C115" name="input2"/>
    <protectedRange sqref="C21 C33 C31 C91 C44 C46 C48 B105:B108 B114:B115" name="input2_1"/>
  </protectedRanges>
  <mergeCells count="34">
    <mergeCell ref="G118:G119"/>
    <mergeCell ref="A122:H122"/>
    <mergeCell ref="H101:H108"/>
    <mergeCell ref="G101:G108"/>
    <mergeCell ref="E114:E115"/>
    <mergeCell ref="H111:H115"/>
    <mergeCell ref="G111:G115"/>
    <mergeCell ref="C114:C115"/>
    <mergeCell ref="D114:D115"/>
    <mergeCell ref="H118:H119"/>
    <mergeCell ref="H31:H33"/>
    <mergeCell ref="G31:G33"/>
    <mergeCell ref="G38:G40"/>
    <mergeCell ref="G43:G48"/>
    <mergeCell ref="G59:G88"/>
    <mergeCell ref="H59:H88"/>
    <mergeCell ref="H38:H40"/>
    <mergeCell ref="H43:H47"/>
    <mergeCell ref="H52:H55"/>
    <mergeCell ref="G96:G98"/>
    <mergeCell ref="C105:C108"/>
    <mergeCell ref="D105:D108"/>
    <mergeCell ref="E105:E108"/>
    <mergeCell ref="H96:H98"/>
    <mergeCell ref="G10:G11"/>
    <mergeCell ref="G16:G17"/>
    <mergeCell ref="A3:C4"/>
    <mergeCell ref="F3:H3"/>
    <mergeCell ref="F7:F8"/>
    <mergeCell ref="B7:C8"/>
    <mergeCell ref="A7:A8"/>
    <mergeCell ref="H10:H11"/>
    <mergeCell ref="H16:H17"/>
    <mergeCell ref="F5:H5"/>
  </mergeCells>
  <conditionalFormatting sqref="F5:H5">
    <cfRule type="expression" dxfId="0" priority="1">
      <formula>E5=TRUE</formula>
    </cfRule>
  </conditionalFormatting>
  <dataValidations count="3">
    <dataValidation type="list" allowBlank="1" showInputMessage="1" showErrorMessage="1" sqref="C10:C11 C16:C17 C19 C38:C40 C84:C88 C52 C55 C111:C112 C96:C98 C47 C101:C103 C118:C119 C67:C73 C76:C81 C43 C45 C60:C64" xr:uid="{00000000-0002-0000-0500-000000000000}">
      <formula1>"Y,N"</formula1>
    </dataValidation>
    <dataValidation type="list" allowBlank="1" showInputMessage="1" showErrorMessage="1" sqref="C91" xr:uid="{00000000-0002-0000-0500-000001000000}">
      <formula1>"Certified,Gold,Gold+,Platinum"</formula1>
    </dataValidation>
    <dataValidation type="list" allowBlank="1" showInputMessage="1" showErrorMessage="1" sqref="C31" xr:uid="{00000000-0002-0000-0500-000002000000}">
      <formula1>"Exemplary,Acceptable"</formula1>
    </dataValidation>
  </dataValidations>
  <pageMargins left="0.23622047244094491" right="0.23622047244094491" top="0.74803149606299213" bottom="0.74803149606299213" header="0.31496062992125984" footer="0.31496062992125984"/>
  <pageSetup orientation="portrait" r:id="rId1"/>
  <headerFooter>
    <oddHeader>&amp;RGM RB: 2016 Score Card Ver. 1
(w.e.f 02 January  2019)</oddHeader>
    <oddFooter>&amp;RPage &amp;P of &amp;N</oddFooter>
  </headerFooter>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219075</xdr:colOff>
                    <xdr:row>3</xdr:row>
                    <xdr:rowOff>142875</xdr:rowOff>
                  </from>
                  <to>
                    <xdr:col>6</xdr:col>
                    <xdr:colOff>523875</xdr:colOff>
                    <xdr:row>5</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102"/>
  <sheetViews>
    <sheetView zoomScale="160" zoomScaleNormal="160" zoomScaleSheetLayoutView="130" workbookViewId="0">
      <selection activeCell="B7" sqref="B7"/>
    </sheetView>
  </sheetViews>
  <sheetFormatPr defaultRowHeight="10.5" x14ac:dyDescent="0.15"/>
  <cols>
    <col min="1" max="1" width="5.140625" style="115" customWidth="1"/>
    <col min="2" max="2" width="37.42578125" style="115" customWidth="1"/>
    <col min="3" max="3" width="8.7109375" style="115" customWidth="1"/>
    <col min="4" max="4" width="7.28515625" style="115" customWidth="1"/>
    <col min="5" max="5" width="0.7109375" style="115" hidden="1" customWidth="1"/>
    <col min="6" max="8" width="13.85546875" style="115" customWidth="1"/>
    <col min="9" max="16384" width="9.140625" style="115"/>
  </cols>
  <sheetData>
    <row r="1" spans="1:8" s="113" customFormat="1" ht="18" customHeight="1" x14ac:dyDescent="0.2">
      <c r="A1" s="142" t="s">
        <v>244</v>
      </c>
      <c r="B1" s="143"/>
      <c r="C1" s="144"/>
      <c r="D1" s="145"/>
      <c r="E1" s="144" t="s">
        <v>57</v>
      </c>
      <c r="F1" s="146"/>
      <c r="G1" s="144"/>
      <c r="H1" s="144"/>
    </row>
    <row r="2" spans="1:8" s="113" customFormat="1" ht="12" x14ac:dyDescent="0.2"/>
    <row r="3" spans="1:8" s="113" customFormat="1" ht="12" x14ac:dyDescent="0.2"/>
    <row r="4" spans="1:8" s="113" customFormat="1" ht="12" x14ac:dyDescent="0.2">
      <c r="A4" s="142"/>
      <c r="B4" s="143"/>
      <c r="C4" s="144"/>
      <c r="D4" s="145"/>
      <c r="E4" s="111"/>
      <c r="F4" s="270" t="s">
        <v>353</v>
      </c>
      <c r="G4" s="111" t="s">
        <v>55</v>
      </c>
      <c r="H4" s="111" t="s">
        <v>56</v>
      </c>
    </row>
    <row r="5" spans="1:8" s="113" customFormat="1" ht="12" x14ac:dyDescent="0.2">
      <c r="A5" s="147">
        <v>5.0999999999999996</v>
      </c>
      <c r="B5" s="143" t="s">
        <v>199</v>
      </c>
      <c r="C5" s="148"/>
      <c r="D5" s="149"/>
      <c r="E5" s="125"/>
      <c r="F5" s="270"/>
      <c r="G5" s="126">
        <f>IF((SUM(G10,G14,G19,G26,G29,G34,G42,G50,G56,G61,G67,G71,G77,G85))&gt;=15,15,(SUM(G10,G14,G19,G26,G29,G34,G42,G50,G56,G61,G67,G71,G77,G85)))</f>
        <v>0</v>
      </c>
      <c r="H5" s="126">
        <v>15</v>
      </c>
    </row>
    <row r="6" spans="1:8" ht="21" x14ac:dyDescent="0.15">
      <c r="A6" s="118" t="s">
        <v>71</v>
      </c>
      <c r="B6" s="134" t="s">
        <v>200</v>
      </c>
      <c r="C6" s="120"/>
      <c r="D6" s="120" t="s">
        <v>243</v>
      </c>
      <c r="E6" s="120"/>
      <c r="F6" s="121"/>
      <c r="G6" s="120"/>
      <c r="H6" s="121"/>
    </row>
    <row r="7" spans="1:8" ht="63" x14ac:dyDescent="0.15">
      <c r="A7" s="118"/>
      <c r="B7" s="119" t="s">
        <v>201</v>
      </c>
      <c r="C7" s="50"/>
      <c r="D7" s="120" t="s">
        <v>358</v>
      </c>
      <c r="E7" s="120">
        <f>IF(C7="Y",1,0)</f>
        <v>0</v>
      </c>
      <c r="F7" s="121"/>
      <c r="G7" s="120">
        <f>E7</f>
        <v>0</v>
      </c>
      <c r="H7" s="273">
        <v>3</v>
      </c>
    </row>
    <row r="8" spans="1:8" ht="31.5" x14ac:dyDescent="0.15">
      <c r="A8" s="118"/>
      <c r="B8" s="119" t="s">
        <v>202</v>
      </c>
      <c r="C8" s="50"/>
      <c r="D8" s="120" t="s">
        <v>358</v>
      </c>
      <c r="E8" s="120">
        <f t="shared" ref="E8:E9" si="0">IF(C8="Y",1,0)</f>
        <v>0</v>
      </c>
      <c r="F8" s="121"/>
      <c r="G8" s="120">
        <f>E8</f>
        <v>0</v>
      </c>
      <c r="H8" s="273"/>
    </row>
    <row r="9" spans="1:8" ht="31.5" x14ac:dyDescent="0.15">
      <c r="A9" s="118"/>
      <c r="B9" s="119" t="s">
        <v>203</v>
      </c>
      <c r="C9" s="50"/>
      <c r="D9" s="120" t="s">
        <v>358</v>
      </c>
      <c r="E9" s="120">
        <f t="shared" si="0"/>
        <v>0</v>
      </c>
      <c r="F9" s="121"/>
      <c r="G9" s="120">
        <f>E9</f>
        <v>0</v>
      </c>
      <c r="H9" s="273"/>
    </row>
    <row r="10" spans="1:8" x14ac:dyDescent="0.15">
      <c r="A10" s="118"/>
      <c r="B10" s="119"/>
      <c r="C10" s="120"/>
      <c r="D10" s="120"/>
      <c r="E10" s="120"/>
      <c r="F10" s="150" t="s">
        <v>469</v>
      </c>
      <c r="G10" s="151">
        <f>SUM(G7:G9)</f>
        <v>0</v>
      </c>
      <c r="H10" s="121"/>
    </row>
    <row r="11" spans="1:8" x14ac:dyDescent="0.15">
      <c r="A11" s="118"/>
      <c r="B11" s="119"/>
      <c r="C11" s="120"/>
      <c r="D11" s="120"/>
      <c r="E11" s="120"/>
      <c r="F11" s="121"/>
      <c r="G11" s="120"/>
      <c r="H11" s="121"/>
    </row>
    <row r="12" spans="1:8" x14ac:dyDescent="0.15">
      <c r="A12" s="118" t="s">
        <v>73</v>
      </c>
      <c r="B12" s="119" t="s">
        <v>204</v>
      </c>
      <c r="C12" s="120"/>
      <c r="D12" s="120"/>
      <c r="E12" s="120"/>
      <c r="F12" s="121"/>
      <c r="G12" s="120"/>
      <c r="H12" s="121"/>
    </row>
    <row r="13" spans="1:8" x14ac:dyDescent="0.15">
      <c r="A13" s="118"/>
      <c r="B13" s="119" t="s">
        <v>280</v>
      </c>
      <c r="C13" s="50"/>
      <c r="D13" s="120" t="s">
        <v>358</v>
      </c>
      <c r="E13" s="120">
        <f>IF(C13="Y",1,0)</f>
        <v>0</v>
      </c>
      <c r="F13" s="121"/>
      <c r="G13" s="120">
        <f>E13</f>
        <v>0</v>
      </c>
      <c r="H13" s="152">
        <v>1</v>
      </c>
    </row>
    <row r="14" spans="1:8" x14ac:dyDescent="0.15">
      <c r="A14" s="118"/>
      <c r="B14" s="119"/>
      <c r="C14" s="120"/>
      <c r="D14" s="120"/>
      <c r="E14" s="120"/>
      <c r="F14" s="150" t="s">
        <v>470</v>
      </c>
      <c r="G14" s="151">
        <f>G13</f>
        <v>0</v>
      </c>
      <c r="H14" s="121"/>
    </row>
    <row r="15" spans="1:8" x14ac:dyDescent="0.15">
      <c r="A15" s="118" t="s">
        <v>92</v>
      </c>
      <c r="B15" s="119" t="s">
        <v>205</v>
      </c>
      <c r="C15" s="120"/>
      <c r="D15" s="120"/>
      <c r="E15" s="120"/>
      <c r="F15" s="121"/>
      <c r="G15" s="120"/>
      <c r="H15" s="121"/>
    </row>
    <row r="16" spans="1:8" ht="52.5" x14ac:dyDescent="0.15">
      <c r="A16" s="118"/>
      <c r="B16" s="119" t="s">
        <v>281</v>
      </c>
      <c r="C16" s="50"/>
      <c r="D16" s="120" t="s">
        <v>358</v>
      </c>
      <c r="E16" s="120">
        <f>IF(C16="Y",1,0)</f>
        <v>0</v>
      </c>
      <c r="F16" s="121"/>
      <c r="G16" s="120">
        <f>E16</f>
        <v>0</v>
      </c>
      <c r="H16" s="128">
        <v>1</v>
      </c>
    </row>
    <row r="17" spans="1:8" x14ac:dyDescent="0.15">
      <c r="A17" s="118"/>
      <c r="B17" s="119"/>
      <c r="C17" s="120"/>
      <c r="D17" s="120"/>
      <c r="E17" s="120"/>
      <c r="F17" s="121"/>
      <c r="G17" s="120"/>
      <c r="H17" s="120"/>
    </row>
    <row r="18" spans="1:8" ht="21" x14ac:dyDescent="0.15">
      <c r="A18" s="118"/>
      <c r="B18" s="119" t="s">
        <v>282</v>
      </c>
      <c r="C18" s="50"/>
      <c r="D18" s="120" t="s">
        <v>358</v>
      </c>
      <c r="E18" s="120">
        <f t="shared" ref="E18" si="1">IF(C18="Y",1,0)</f>
        <v>0</v>
      </c>
      <c r="F18" s="121"/>
      <c r="G18" s="120">
        <f>E18</f>
        <v>0</v>
      </c>
      <c r="H18" s="128">
        <v>1</v>
      </c>
    </row>
    <row r="19" spans="1:8" x14ac:dyDescent="0.15">
      <c r="A19" s="118"/>
      <c r="B19" s="119"/>
      <c r="C19" s="120"/>
      <c r="D19" s="120"/>
      <c r="E19" s="120"/>
      <c r="F19" s="150" t="s">
        <v>471</v>
      </c>
      <c r="G19" s="151">
        <f>SUM(G16,G18)</f>
        <v>0</v>
      </c>
      <c r="H19" s="121"/>
    </row>
    <row r="20" spans="1:8" x14ac:dyDescent="0.15">
      <c r="A20" s="118" t="s">
        <v>206</v>
      </c>
      <c r="B20" s="119" t="s">
        <v>207</v>
      </c>
      <c r="C20" s="120"/>
      <c r="D20" s="120"/>
      <c r="E20" s="120"/>
      <c r="F20" s="121"/>
      <c r="G20" s="120"/>
      <c r="H20" s="121"/>
    </row>
    <row r="21" spans="1:8" ht="21" x14ac:dyDescent="0.15">
      <c r="A21" s="118"/>
      <c r="B21" s="119" t="s">
        <v>208</v>
      </c>
      <c r="C21" s="50"/>
      <c r="D21" s="120" t="s">
        <v>358</v>
      </c>
      <c r="E21" s="120">
        <f>IF(C22&lt;&gt;0,(IF(C21="Y",(IF((AND(C22&gt;=0.5,C22&lt;=0.8)),0.5,0)),0)),0)</f>
        <v>0</v>
      </c>
      <c r="F21" s="121"/>
      <c r="G21" s="267">
        <f>IF(SUM(E21:E22)&gt;=1,1,SUM(E21:E22))</f>
        <v>0</v>
      </c>
      <c r="H21" s="273">
        <v>1</v>
      </c>
    </row>
    <row r="22" spans="1:8" x14ac:dyDescent="0.15">
      <c r="A22" s="118"/>
      <c r="B22" s="119" t="s">
        <v>209</v>
      </c>
      <c r="C22" s="50"/>
      <c r="D22" s="120" t="s">
        <v>359</v>
      </c>
      <c r="E22" s="120">
        <f>IF(C22&lt;&gt;0,(IF(C21="Y",(IF(C22&lt;0.5,1,0)),0)),0)</f>
        <v>0</v>
      </c>
      <c r="F22" s="121"/>
      <c r="G22" s="267"/>
      <c r="H22" s="273"/>
    </row>
    <row r="23" spans="1:8" x14ac:dyDescent="0.15">
      <c r="A23" s="118"/>
      <c r="B23" s="134"/>
      <c r="C23" s="120"/>
      <c r="D23" s="120"/>
      <c r="E23" s="120"/>
      <c r="F23" s="121"/>
      <c r="G23" s="120"/>
      <c r="H23" s="121"/>
    </row>
    <row r="24" spans="1:8" ht="31.5" x14ac:dyDescent="0.15">
      <c r="A24" s="118"/>
      <c r="B24" s="119" t="s">
        <v>210</v>
      </c>
      <c r="C24" s="120"/>
      <c r="D24" s="120"/>
      <c r="E24" s="120">
        <f>IF((AND(C25&gt;=25,C25&lt;=50)),1,0)</f>
        <v>0</v>
      </c>
      <c r="F24" s="121"/>
      <c r="G24" s="120"/>
      <c r="H24" s="121"/>
    </row>
    <row r="25" spans="1:8" x14ac:dyDescent="0.15">
      <c r="A25" s="118"/>
      <c r="B25" s="119" t="s">
        <v>211</v>
      </c>
      <c r="C25" s="50"/>
      <c r="D25" s="120" t="s">
        <v>360</v>
      </c>
      <c r="E25" s="120">
        <f>IF(C25&gt;50,2,0)</f>
        <v>0</v>
      </c>
      <c r="F25" s="121"/>
      <c r="G25" s="120">
        <f>IF(SUM(E24:E25)&gt;=2,2,SUM(E24:E25))</f>
        <v>0</v>
      </c>
      <c r="H25" s="128">
        <v>2</v>
      </c>
    </row>
    <row r="26" spans="1:8" x14ac:dyDescent="0.15">
      <c r="A26" s="118"/>
      <c r="B26" s="119"/>
      <c r="C26" s="120"/>
      <c r="D26" s="120"/>
      <c r="E26" s="120"/>
      <c r="F26" s="150" t="s">
        <v>472</v>
      </c>
      <c r="G26" s="151">
        <f>SUM(G21,G25)</f>
        <v>0</v>
      </c>
      <c r="H26" s="121"/>
    </row>
    <row r="27" spans="1:8" x14ac:dyDescent="0.15">
      <c r="A27" s="118" t="s">
        <v>212</v>
      </c>
      <c r="B27" s="119" t="s">
        <v>213</v>
      </c>
      <c r="C27" s="120"/>
      <c r="D27" s="120"/>
      <c r="E27" s="120"/>
      <c r="F27" s="121"/>
      <c r="G27" s="120"/>
      <c r="H27" s="121"/>
    </row>
    <row r="28" spans="1:8" ht="21" x14ac:dyDescent="0.15">
      <c r="A28" s="118"/>
      <c r="B28" s="119" t="s">
        <v>214</v>
      </c>
      <c r="C28" s="50"/>
      <c r="D28" s="120" t="s">
        <v>360</v>
      </c>
      <c r="E28" s="120"/>
      <c r="F28" s="121"/>
      <c r="G28" s="120">
        <f>IF((IF((C28-6)&gt;0,(C28-6)/10*1,0))&gt;=10,10,(IF((C28-6)&gt;0,(C28-6)/10*1,0)))</f>
        <v>0</v>
      </c>
      <c r="H28" s="128">
        <v>10</v>
      </c>
    </row>
    <row r="29" spans="1:8" x14ac:dyDescent="0.15">
      <c r="A29" s="118"/>
      <c r="B29" s="119"/>
      <c r="C29" s="120"/>
      <c r="D29" s="120"/>
      <c r="E29" s="120"/>
      <c r="F29" s="150" t="s">
        <v>473</v>
      </c>
      <c r="G29" s="151">
        <f>G28</f>
        <v>0</v>
      </c>
      <c r="H29" s="121"/>
    </row>
    <row r="30" spans="1:8" x14ac:dyDescent="0.15">
      <c r="A30" s="118"/>
      <c r="B30" s="119"/>
      <c r="C30" s="120"/>
      <c r="D30" s="120"/>
      <c r="E30" s="120"/>
      <c r="F30" s="120"/>
      <c r="G30" s="120"/>
      <c r="H30" s="120"/>
    </row>
    <row r="31" spans="1:8" x14ac:dyDescent="0.15">
      <c r="A31" s="118" t="s">
        <v>215</v>
      </c>
      <c r="B31" s="119" t="s">
        <v>283</v>
      </c>
      <c r="C31" s="120"/>
      <c r="D31" s="120"/>
      <c r="E31" s="120"/>
      <c r="F31" s="121"/>
      <c r="G31" s="120"/>
      <c r="H31" s="121"/>
    </row>
    <row r="32" spans="1:8" ht="21" x14ac:dyDescent="0.15">
      <c r="A32" s="118"/>
      <c r="B32" s="119" t="s">
        <v>284</v>
      </c>
      <c r="C32" s="50"/>
      <c r="D32" s="120" t="s">
        <v>358</v>
      </c>
      <c r="E32" s="120">
        <f>IF(C32="Y",1,0)</f>
        <v>0</v>
      </c>
      <c r="F32" s="121"/>
      <c r="G32" s="120">
        <f>E32</f>
        <v>0</v>
      </c>
      <c r="H32" s="273">
        <v>3</v>
      </c>
    </row>
    <row r="33" spans="1:8" ht="21" x14ac:dyDescent="0.15">
      <c r="A33" s="118"/>
      <c r="B33" s="119" t="s">
        <v>285</v>
      </c>
      <c r="C33" s="50"/>
      <c r="D33" s="120" t="s">
        <v>358</v>
      </c>
      <c r="E33" s="120">
        <f>IF(C33="Y",2,0)</f>
        <v>0</v>
      </c>
      <c r="F33" s="121"/>
      <c r="G33" s="120">
        <f>E33</f>
        <v>0</v>
      </c>
      <c r="H33" s="273"/>
    </row>
    <row r="34" spans="1:8" x14ac:dyDescent="0.15">
      <c r="A34" s="118"/>
      <c r="B34" s="119"/>
      <c r="C34" s="120"/>
      <c r="D34" s="120"/>
      <c r="E34" s="120"/>
      <c r="F34" s="150" t="s">
        <v>474</v>
      </c>
      <c r="G34" s="151">
        <f>SUM(G32:G33)</f>
        <v>0</v>
      </c>
      <c r="H34" s="121"/>
    </row>
    <row r="35" spans="1:8" x14ac:dyDescent="0.15">
      <c r="A35" s="118"/>
      <c r="B35" s="119"/>
      <c r="C35" s="120"/>
      <c r="D35" s="120"/>
      <c r="E35" s="120"/>
      <c r="F35" s="120"/>
      <c r="G35" s="120"/>
      <c r="H35" s="121"/>
    </row>
    <row r="36" spans="1:8" x14ac:dyDescent="0.15">
      <c r="A36" s="118" t="s">
        <v>216</v>
      </c>
      <c r="B36" s="119" t="s">
        <v>217</v>
      </c>
      <c r="C36" s="120"/>
      <c r="D36" s="120"/>
      <c r="E36" s="120"/>
      <c r="F36" s="121"/>
      <c r="G36" s="120"/>
      <c r="H36" s="121"/>
    </row>
    <row r="37" spans="1:8" x14ac:dyDescent="0.15">
      <c r="A37" s="118"/>
      <c r="B37" s="119" t="s">
        <v>218</v>
      </c>
      <c r="C37" s="50"/>
      <c r="D37" s="120" t="s">
        <v>358</v>
      </c>
      <c r="E37" s="120">
        <f>IF(C37="Y",1,0)</f>
        <v>0</v>
      </c>
      <c r="F37" s="121"/>
      <c r="G37" s="267">
        <f>IF(SUM(E37:E39,E41)&gt;=3,3,SUM(E37:E39,E41))</f>
        <v>0</v>
      </c>
      <c r="H37" s="273">
        <v>3</v>
      </c>
    </row>
    <row r="38" spans="1:8" x14ac:dyDescent="0.15">
      <c r="A38" s="118"/>
      <c r="B38" s="119" t="s">
        <v>219</v>
      </c>
      <c r="C38" s="50"/>
      <c r="D38" s="120" t="s">
        <v>358</v>
      </c>
      <c r="E38" s="120">
        <f t="shared" ref="E38:E41" si="2">IF(C38="Y",1,0)</f>
        <v>0</v>
      </c>
      <c r="F38" s="121"/>
      <c r="G38" s="267"/>
      <c r="H38" s="273"/>
    </row>
    <row r="39" spans="1:8" x14ac:dyDescent="0.15">
      <c r="A39" s="118"/>
      <c r="B39" s="119" t="s">
        <v>220</v>
      </c>
      <c r="C39" s="50"/>
      <c r="D39" s="120" t="s">
        <v>358</v>
      </c>
      <c r="E39" s="120">
        <f t="shared" si="2"/>
        <v>0</v>
      </c>
      <c r="F39" s="121"/>
      <c r="G39" s="267"/>
      <c r="H39" s="273"/>
    </row>
    <row r="40" spans="1:8" x14ac:dyDescent="0.15">
      <c r="A40" s="118"/>
      <c r="B40" s="119"/>
      <c r="C40" s="106"/>
      <c r="D40" s="120"/>
      <c r="E40" s="120"/>
      <c r="F40" s="121"/>
      <c r="G40" s="267"/>
      <c r="H40" s="273"/>
    </row>
    <row r="41" spans="1:8" ht="21" x14ac:dyDescent="0.15">
      <c r="A41" s="118"/>
      <c r="B41" s="119" t="s">
        <v>221</v>
      </c>
      <c r="C41" s="50"/>
      <c r="D41" s="120" t="s">
        <v>358</v>
      </c>
      <c r="E41" s="120">
        <f t="shared" si="2"/>
        <v>0</v>
      </c>
      <c r="F41" s="121"/>
      <c r="G41" s="267"/>
      <c r="H41" s="273"/>
    </row>
    <row r="42" spans="1:8" x14ac:dyDescent="0.15">
      <c r="A42" s="118"/>
      <c r="B42" s="119"/>
      <c r="C42" s="120"/>
      <c r="D42" s="120"/>
      <c r="E42" s="120"/>
      <c r="F42" s="150" t="s">
        <v>475</v>
      </c>
      <c r="G42" s="151">
        <f>G37</f>
        <v>0</v>
      </c>
      <c r="H42" s="121"/>
    </row>
    <row r="43" spans="1:8" x14ac:dyDescent="0.15">
      <c r="A43" s="118"/>
      <c r="B43" s="119"/>
      <c r="C43" s="120"/>
      <c r="D43" s="120"/>
      <c r="E43" s="120"/>
      <c r="F43" s="121"/>
      <c r="G43" s="120"/>
      <c r="H43" s="121"/>
    </row>
    <row r="44" spans="1:8" x14ac:dyDescent="0.15">
      <c r="A44" s="118" t="s">
        <v>222</v>
      </c>
      <c r="B44" s="119" t="s">
        <v>223</v>
      </c>
      <c r="C44" s="120"/>
      <c r="D44" s="120"/>
      <c r="E44" s="120"/>
      <c r="F44" s="121"/>
      <c r="G44" s="120"/>
      <c r="H44" s="121"/>
    </row>
    <row r="45" spans="1:8" x14ac:dyDescent="0.15">
      <c r="A45" s="118"/>
      <c r="B45" s="119" t="s">
        <v>286</v>
      </c>
      <c r="C45" s="120"/>
      <c r="D45" s="120"/>
      <c r="E45" s="120"/>
      <c r="F45" s="121"/>
      <c r="G45" s="120"/>
      <c r="H45" s="121"/>
    </row>
    <row r="46" spans="1:8" ht="21" x14ac:dyDescent="0.15">
      <c r="A46" s="118"/>
      <c r="B46" s="119" t="s">
        <v>287</v>
      </c>
      <c r="C46" s="120"/>
      <c r="D46" s="120"/>
      <c r="E46" s="120"/>
      <c r="F46" s="121"/>
      <c r="G46" s="120"/>
      <c r="H46" s="121"/>
    </row>
    <row r="47" spans="1:8" x14ac:dyDescent="0.15">
      <c r="A47" s="118"/>
      <c r="B47" s="119" t="s">
        <v>289</v>
      </c>
      <c r="C47" s="50"/>
      <c r="D47" s="120" t="s">
        <v>359</v>
      </c>
      <c r="E47" s="120">
        <f>C47*0.25</f>
        <v>0</v>
      </c>
      <c r="F47" s="121"/>
      <c r="G47" s="267">
        <f>IF(SUM(E47:E49)&gt;=2,2,SUM(E47:E49))</f>
        <v>0</v>
      </c>
      <c r="H47" s="273">
        <v>2</v>
      </c>
    </row>
    <row r="48" spans="1:8" x14ac:dyDescent="0.15">
      <c r="A48" s="118"/>
      <c r="B48" s="119" t="s">
        <v>290</v>
      </c>
      <c r="C48" s="50"/>
      <c r="D48" s="120" t="s">
        <v>359</v>
      </c>
      <c r="E48" s="120">
        <f>C48*0.5</f>
        <v>0</v>
      </c>
      <c r="F48" s="121"/>
      <c r="G48" s="267"/>
      <c r="H48" s="273"/>
    </row>
    <row r="49" spans="1:8" x14ac:dyDescent="0.15">
      <c r="A49" s="118"/>
      <c r="B49" s="119" t="s">
        <v>291</v>
      </c>
      <c r="C49" s="50"/>
      <c r="D49" s="120" t="s">
        <v>359</v>
      </c>
      <c r="E49" s="120">
        <f>C49*1</f>
        <v>0</v>
      </c>
      <c r="F49" s="121"/>
      <c r="G49" s="267"/>
      <c r="H49" s="273"/>
    </row>
    <row r="50" spans="1:8" x14ac:dyDescent="0.15">
      <c r="A50" s="118"/>
      <c r="B50" s="119"/>
      <c r="C50" s="120"/>
      <c r="D50" s="120"/>
      <c r="E50" s="120"/>
      <c r="F50" s="150" t="s">
        <v>476</v>
      </c>
      <c r="G50" s="151">
        <f>G47</f>
        <v>0</v>
      </c>
      <c r="H50" s="121"/>
    </row>
    <row r="51" spans="1:8" x14ac:dyDescent="0.15">
      <c r="A51" s="118"/>
      <c r="B51" s="119"/>
      <c r="C51" s="120"/>
      <c r="D51" s="120"/>
      <c r="E51" s="120"/>
      <c r="F51" s="121"/>
      <c r="G51" s="120"/>
      <c r="H51" s="121"/>
    </row>
    <row r="52" spans="1:8" x14ac:dyDescent="0.15">
      <c r="A52" s="118" t="s">
        <v>224</v>
      </c>
      <c r="B52" s="119" t="s">
        <v>97</v>
      </c>
      <c r="C52" s="120"/>
      <c r="D52" s="120"/>
      <c r="E52" s="120"/>
      <c r="F52" s="121"/>
      <c r="G52" s="120"/>
      <c r="H52" s="121"/>
    </row>
    <row r="53" spans="1:8" ht="21" x14ac:dyDescent="0.15">
      <c r="A53" s="118"/>
      <c r="B53" s="119" t="s">
        <v>225</v>
      </c>
      <c r="C53" s="120"/>
      <c r="D53" s="120"/>
      <c r="E53" s="120"/>
      <c r="F53" s="121"/>
      <c r="G53" s="120"/>
      <c r="H53" s="121"/>
    </row>
    <row r="54" spans="1:8" x14ac:dyDescent="0.15">
      <c r="A54" s="118"/>
      <c r="B54" s="119" t="s">
        <v>288</v>
      </c>
      <c r="C54" s="50"/>
      <c r="D54" s="120" t="s">
        <v>359</v>
      </c>
      <c r="E54" s="120">
        <f>IF((C54*0.25)&gt;=2,2,(C54*0.25))</f>
        <v>0</v>
      </c>
      <c r="F54" s="121"/>
      <c r="G54" s="267">
        <f>IF(SUM(E54:E55)&gt;=2,2,SUM(E54:E55))</f>
        <v>0</v>
      </c>
      <c r="H54" s="273">
        <v>2</v>
      </c>
    </row>
    <row r="55" spans="1:8" ht="42" x14ac:dyDescent="0.15">
      <c r="A55" s="118"/>
      <c r="B55" s="119" t="s">
        <v>226</v>
      </c>
      <c r="C55" s="50"/>
      <c r="D55" s="120" t="s">
        <v>358</v>
      </c>
      <c r="E55" s="120">
        <f>IF(C55="Y",2,0)</f>
        <v>0</v>
      </c>
      <c r="F55" s="121"/>
      <c r="G55" s="267"/>
      <c r="H55" s="273"/>
    </row>
    <row r="56" spans="1:8" x14ac:dyDescent="0.15">
      <c r="A56" s="118"/>
      <c r="B56" s="119"/>
      <c r="C56" s="120"/>
      <c r="D56" s="120"/>
      <c r="E56" s="120"/>
      <c r="F56" s="150" t="s">
        <v>477</v>
      </c>
      <c r="G56" s="151">
        <f>G54</f>
        <v>0</v>
      </c>
      <c r="H56" s="121"/>
    </row>
    <row r="57" spans="1:8" x14ac:dyDescent="0.15">
      <c r="A57" s="118"/>
      <c r="B57" s="119"/>
      <c r="C57" s="120"/>
      <c r="D57" s="120"/>
      <c r="E57" s="120"/>
      <c r="F57" s="120"/>
      <c r="G57" s="120"/>
      <c r="H57" s="121"/>
    </row>
    <row r="58" spans="1:8" x14ac:dyDescent="0.15">
      <c r="A58" s="118" t="s">
        <v>227</v>
      </c>
      <c r="B58" s="119" t="s">
        <v>228</v>
      </c>
      <c r="C58" s="120"/>
      <c r="D58" s="120"/>
      <c r="E58" s="120"/>
      <c r="F58" s="121"/>
      <c r="G58" s="120"/>
      <c r="H58" s="121"/>
    </row>
    <row r="59" spans="1:8" ht="21" x14ac:dyDescent="0.15">
      <c r="A59" s="118"/>
      <c r="B59" s="119" t="s">
        <v>292</v>
      </c>
      <c r="C59" s="50"/>
      <c r="D59" s="120" t="s">
        <v>358</v>
      </c>
      <c r="E59" s="120">
        <f>IF(C59="Y",2,0)</f>
        <v>0</v>
      </c>
      <c r="F59" s="121"/>
      <c r="G59" s="267">
        <f>IF(SUM(E59:E60)&gt;=2,2,SUM(E59:E60))</f>
        <v>0</v>
      </c>
      <c r="H59" s="273">
        <v>2</v>
      </c>
    </row>
    <row r="60" spans="1:8" ht="21" x14ac:dyDescent="0.15">
      <c r="A60" s="118"/>
      <c r="B60" s="119" t="s">
        <v>293</v>
      </c>
      <c r="C60" s="50"/>
      <c r="D60" s="120" t="s">
        <v>358</v>
      </c>
      <c r="E60" s="120">
        <f>IF(C60="Y",0.5,0)</f>
        <v>0</v>
      </c>
      <c r="F60" s="121"/>
      <c r="G60" s="267"/>
      <c r="H60" s="273"/>
    </row>
    <row r="61" spans="1:8" x14ac:dyDescent="0.15">
      <c r="A61" s="118"/>
      <c r="B61" s="119"/>
      <c r="C61" s="120"/>
      <c r="D61" s="120"/>
      <c r="E61" s="120"/>
      <c r="F61" s="150" t="s">
        <v>478</v>
      </c>
      <c r="G61" s="151">
        <f>G59</f>
        <v>0</v>
      </c>
      <c r="H61" s="120"/>
    </row>
    <row r="62" spans="1:8" x14ac:dyDescent="0.15">
      <c r="A62" s="118"/>
      <c r="B62" s="119"/>
      <c r="C62" s="120"/>
      <c r="D62" s="120"/>
      <c r="E62" s="120"/>
      <c r="F62" s="121"/>
      <c r="G62" s="120"/>
      <c r="H62" s="121"/>
    </row>
    <row r="63" spans="1:8" x14ac:dyDescent="0.15">
      <c r="A63" s="118" t="s">
        <v>229</v>
      </c>
      <c r="B63" s="119" t="s">
        <v>230</v>
      </c>
      <c r="C63" s="120"/>
      <c r="D63" s="120"/>
      <c r="E63" s="120"/>
      <c r="F63" s="121"/>
      <c r="G63" s="120"/>
      <c r="H63" s="121"/>
    </row>
    <row r="64" spans="1:8" ht="21" x14ac:dyDescent="0.15">
      <c r="A64" s="118"/>
      <c r="B64" s="119" t="s">
        <v>231</v>
      </c>
      <c r="C64" s="50"/>
      <c r="D64" s="120" t="s">
        <v>358</v>
      </c>
      <c r="E64" s="120">
        <f>IF(C64="Y",1,0)</f>
        <v>0</v>
      </c>
      <c r="F64" s="121"/>
      <c r="G64" s="120">
        <f>E64</f>
        <v>0</v>
      </c>
      <c r="H64" s="273">
        <v>2</v>
      </c>
    </row>
    <row r="65" spans="1:8" x14ac:dyDescent="0.15">
      <c r="A65" s="118"/>
      <c r="B65" s="119" t="s">
        <v>232</v>
      </c>
      <c r="C65" s="50"/>
      <c r="D65" s="120" t="s">
        <v>358</v>
      </c>
      <c r="E65" s="120">
        <f>IF(C65="Y",0.5,0)</f>
        <v>0</v>
      </c>
      <c r="F65" s="121"/>
      <c r="G65" s="120">
        <f>E65</f>
        <v>0</v>
      </c>
      <c r="H65" s="273"/>
    </row>
    <row r="66" spans="1:8" ht="21" x14ac:dyDescent="0.15">
      <c r="A66" s="118"/>
      <c r="B66" s="119" t="s">
        <v>233</v>
      </c>
      <c r="C66" s="50"/>
      <c r="D66" s="120" t="s">
        <v>358</v>
      </c>
      <c r="E66" s="120">
        <f>IF(C66="Y",0.5,0)</f>
        <v>0</v>
      </c>
      <c r="F66" s="121"/>
      <c r="G66" s="120">
        <f>E66</f>
        <v>0</v>
      </c>
      <c r="H66" s="273"/>
    </row>
    <row r="67" spans="1:8" x14ac:dyDescent="0.15">
      <c r="A67" s="118"/>
      <c r="B67" s="119"/>
      <c r="C67" s="120"/>
      <c r="D67" s="120"/>
      <c r="E67" s="120"/>
      <c r="F67" s="150" t="s">
        <v>479</v>
      </c>
      <c r="G67" s="151">
        <f>SUM(G64:G66)</f>
        <v>0</v>
      </c>
      <c r="H67" s="121"/>
    </row>
    <row r="68" spans="1:8" x14ac:dyDescent="0.15">
      <c r="A68" s="118"/>
      <c r="B68" s="119"/>
      <c r="C68" s="180"/>
      <c r="D68" s="180"/>
      <c r="E68" s="180"/>
      <c r="F68" s="182"/>
      <c r="G68" s="183"/>
      <c r="H68" s="121"/>
    </row>
    <row r="69" spans="1:8" x14ac:dyDescent="0.15">
      <c r="A69" s="118" t="s">
        <v>234</v>
      </c>
      <c r="B69" s="119" t="s">
        <v>482</v>
      </c>
      <c r="C69" s="180"/>
      <c r="D69" s="180"/>
      <c r="E69" s="180"/>
      <c r="F69" s="121"/>
      <c r="G69" s="180"/>
      <c r="H69" s="121"/>
    </row>
    <row r="70" spans="1:8" ht="21" x14ac:dyDescent="0.15">
      <c r="A70" s="118"/>
      <c r="B70" s="119" t="s">
        <v>483</v>
      </c>
      <c r="C70" s="50"/>
      <c r="D70" s="180" t="s">
        <v>358</v>
      </c>
      <c r="E70" s="180">
        <f>IF(C70="Y",1,0)</f>
        <v>0</v>
      </c>
      <c r="F70" s="121"/>
      <c r="G70" s="180">
        <f>E70</f>
        <v>0</v>
      </c>
      <c r="H70" s="181">
        <v>1</v>
      </c>
    </row>
    <row r="71" spans="1:8" x14ac:dyDescent="0.15">
      <c r="A71" s="118"/>
      <c r="B71" s="119"/>
      <c r="C71" s="180"/>
      <c r="D71" s="180"/>
      <c r="E71" s="180"/>
      <c r="F71" s="150" t="s">
        <v>480</v>
      </c>
      <c r="G71" s="151">
        <f>G70</f>
        <v>0</v>
      </c>
      <c r="H71" s="121"/>
    </row>
    <row r="72" spans="1:8" x14ac:dyDescent="0.15">
      <c r="A72" s="118"/>
      <c r="B72" s="119"/>
      <c r="C72" s="180"/>
      <c r="D72" s="180"/>
      <c r="E72" s="180"/>
      <c r="F72" s="182"/>
      <c r="G72" s="183"/>
      <c r="H72" s="121"/>
    </row>
    <row r="73" spans="1:8" x14ac:dyDescent="0.15">
      <c r="A73" s="118" t="s">
        <v>488</v>
      </c>
      <c r="B73" s="134" t="s">
        <v>484</v>
      </c>
      <c r="C73" s="180"/>
      <c r="D73" s="180" t="s">
        <v>243</v>
      </c>
      <c r="E73" s="180"/>
      <c r="F73" s="121"/>
      <c r="G73" s="180"/>
      <c r="H73" s="121"/>
    </row>
    <row r="74" spans="1:8" ht="31.5" x14ac:dyDescent="0.15">
      <c r="A74" s="118"/>
      <c r="B74" s="119" t="s">
        <v>485</v>
      </c>
      <c r="C74" s="50"/>
      <c r="D74" s="180" t="s">
        <v>358</v>
      </c>
      <c r="E74" s="180">
        <f>IF(C74="Y",1,0)</f>
        <v>0</v>
      </c>
      <c r="F74" s="121"/>
      <c r="G74" s="180">
        <f>E74</f>
        <v>0</v>
      </c>
      <c r="H74" s="273">
        <v>2</v>
      </c>
    </row>
    <row r="75" spans="1:8" ht="21" x14ac:dyDescent="0.15">
      <c r="A75" s="118"/>
      <c r="B75" s="119" t="s">
        <v>486</v>
      </c>
      <c r="C75" s="50"/>
      <c r="D75" s="180" t="s">
        <v>358</v>
      </c>
      <c r="E75" s="180">
        <f t="shared" ref="E75:E76" si="3">IF(C75="Y",1,0)</f>
        <v>0</v>
      </c>
      <c r="F75" s="121"/>
      <c r="G75" s="180">
        <f>E75</f>
        <v>0</v>
      </c>
      <c r="H75" s="273"/>
    </row>
    <row r="76" spans="1:8" ht="31.5" x14ac:dyDescent="0.15">
      <c r="A76" s="118"/>
      <c r="B76" s="119" t="s">
        <v>487</v>
      </c>
      <c r="C76" s="50"/>
      <c r="D76" s="180" t="s">
        <v>358</v>
      </c>
      <c r="E76" s="180">
        <f t="shared" si="3"/>
        <v>0</v>
      </c>
      <c r="F76" s="121"/>
      <c r="G76" s="180">
        <f>E76</f>
        <v>0</v>
      </c>
      <c r="H76" s="273"/>
    </row>
    <row r="77" spans="1:8" x14ac:dyDescent="0.15">
      <c r="A77" s="118"/>
      <c r="B77" s="119"/>
      <c r="C77" s="180"/>
      <c r="D77" s="180"/>
      <c r="E77" s="180"/>
      <c r="F77" s="150" t="s">
        <v>490</v>
      </c>
      <c r="G77" s="151">
        <f>IF(SUM(G74:G76)&gt;=2,2,SUM(G74:G76))</f>
        <v>0</v>
      </c>
      <c r="H77" s="121"/>
    </row>
    <row r="78" spans="1:8" x14ac:dyDescent="0.15">
      <c r="A78" s="118"/>
      <c r="B78" s="119"/>
      <c r="C78" s="120"/>
      <c r="D78" s="120"/>
      <c r="E78" s="120"/>
      <c r="F78" s="120"/>
      <c r="G78" s="120"/>
      <c r="H78" s="121"/>
    </row>
    <row r="79" spans="1:8" x14ac:dyDescent="0.15">
      <c r="A79" s="118" t="s">
        <v>489</v>
      </c>
      <c r="B79" s="119" t="s">
        <v>235</v>
      </c>
      <c r="C79" s="120"/>
      <c r="D79" s="120"/>
      <c r="E79" s="120"/>
      <c r="F79" s="121"/>
      <c r="G79" s="120"/>
      <c r="H79" s="120"/>
    </row>
    <row r="80" spans="1:8" ht="31.5" x14ac:dyDescent="0.15">
      <c r="A80" s="118"/>
      <c r="B80" s="119" t="s">
        <v>294</v>
      </c>
      <c r="C80" s="120"/>
      <c r="D80" s="120"/>
      <c r="E80" s="120"/>
      <c r="F80" s="121"/>
      <c r="G80" s="120"/>
      <c r="H80" s="121"/>
    </row>
    <row r="81" spans="1:8" ht="16.5" customHeight="1" x14ac:dyDescent="0.15">
      <c r="A81" s="118"/>
      <c r="B81" s="155"/>
      <c r="C81" s="157"/>
      <c r="D81" s="120" t="s">
        <v>360</v>
      </c>
      <c r="E81" s="120">
        <f>IF(B81&lt;&gt;"",(IF(C81&gt;=50,(IF((AND(C81&gt;=50,C81&lt;80)),0.5,1)),0)),0)</f>
        <v>0</v>
      </c>
      <c r="F81" s="121"/>
      <c r="G81" s="267">
        <f>IF(SUM(E81:E84)&gt;=2,2,SUM(E81:E84))</f>
        <v>0</v>
      </c>
      <c r="H81" s="279">
        <v>2</v>
      </c>
    </row>
    <row r="82" spans="1:8" ht="16.5" customHeight="1" x14ac:dyDescent="0.15">
      <c r="A82" s="118"/>
      <c r="B82" s="156"/>
      <c r="C82" s="157"/>
      <c r="D82" s="120" t="s">
        <v>360</v>
      </c>
      <c r="E82" s="120">
        <f t="shared" ref="E82:E84" si="4">IF(B82&lt;&gt;"",(IF(C82&gt;=50,(IF((AND(C82&gt;=50,C82&lt;80)),0.5,1)),0)),0)</f>
        <v>0</v>
      </c>
      <c r="F82" s="121"/>
      <c r="G82" s="267"/>
      <c r="H82" s="279"/>
    </row>
    <row r="83" spans="1:8" ht="16.5" customHeight="1" x14ac:dyDescent="0.15">
      <c r="A83" s="118"/>
      <c r="B83" s="156"/>
      <c r="C83" s="157"/>
      <c r="D83" s="120" t="s">
        <v>360</v>
      </c>
      <c r="E83" s="120">
        <f t="shared" si="4"/>
        <v>0</v>
      </c>
      <c r="F83" s="121"/>
      <c r="G83" s="267"/>
      <c r="H83" s="279"/>
    </row>
    <row r="84" spans="1:8" ht="16.5" customHeight="1" x14ac:dyDescent="0.15">
      <c r="A84" s="118"/>
      <c r="B84" s="156"/>
      <c r="C84" s="157"/>
      <c r="D84" s="120" t="s">
        <v>360</v>
      </c>
      <c r="E84" s="120">
        <f t="shared" si="4"/>
        <v>0</v>
      </c>
      <c r="F84" s="121"/>
      <c r="G84" s="267"/>
      <c r="H84" s="279"/>
    </row>
    <row r="85" spans="1:8" x14ac:dyDescent="0.15">
      <c r="A85" s="118"/>
      <c r="B85" s="119"/>
      <c r="C85" s="120"/>
      <c r="D85" s="120"/>
      <c r="E85" s="120"/>
      <c r="F85" s="150" t="s">
        <v>491</v>
      </c>
      <c r="G85" s="151">
        <f>G81</f>
        <v>0</v>
      </c>
      <c r="H85" s="121"/>
    </row>
    <row r="86" spans="1:8" x14ac:dyDescent="0.15">
      <c r="A86" s="118"/>
      <c r="B86" s="119"/>
      <c r="C86" s="120"/>
      <c r="D86" s="120"/>
      <c r="E86" s="120"/>
      <c r="F86" s="120"/>
      <c r="G86" s="120"/>
      <c r="H86" s="121"/>
    </row>
    <row r="87" spans="1:8" s="113" customFormat="1" ht="12" x14ac:dyDescent="0.2">
      <c r="A87" s="147">
        <v>5.2</v>
      </c>
      <c r="B87" s="143" t="s">
        <v>236</v>
      </c>
      <c r="C87" s="148"/>
      <c r="D87" s="149"/>
      <c r="E87" s="125"/>
      <c r="F87" s="131"/>
      <c r="G87" s="126">
        <f>G89</f>
        <v>0</v>
      </c>
      <c r="H87" s="126">
        <v>2</v>
      </c>
    </row>
    <row r="88" spans="1:8" ht="42" x14ac:dyDescent="0.15">
      <c r="A88" s="118"/>
      <c r="B88" s="119" t="s">
        <v>237</v>
      </c>
      <c r="C88" s="120"/>
      <c r="D88" s="120"/>
      <c r="E88" s="120"/>
      <c r="F88" s="121"/>
      <c r="G88" s="120"/>
      <c r="H88" s="120"/>
    </row>
    <row r="89" spans="1:8" ht="31.5" x14ac:dyDescent="0.15">
      <c r="A89" s="118"/>
      <c r="B89" s="119" t="s">
        <v>238</v>
      </c>
      <c r="C89" s="50"/>
      <c r="D89" s="120" t="s">
        <v>358</v>
      </c>
      <c r="E89" s="120"/>
      <c r="F89" s="121"/>
      <c r="G89" s="120">
        <f>IF(C89="Y",2,0)</f>
        <v>0</v>
      </c>
      <c r="H89" s="128">
        <v>2</v>
      </c>
    </row>
    <row r="90" spans="1:8" x14ac:dyDescent="0.15">
      <c r="A90" s="118"/>
      <c r="B90" s="119"/>
      <c r="C90" s="120"/>
      <c r="D90" s="120"/>
      <c r="E90" s="120"/>
      <c r="F90" s="121"/>
      <c r="G90" s="120"/>
      <c r="H90" s="120"/>
    </row>
    <row r="91" spans="1:8" s="113" customFormat="1" ht="12" x14ac:dyDescent="0.2">
      <c r="A91" s="147">
        <v>5.3</v>
      </c>
      <c r="B91" s="143" t="s">
        <v>239</v>
      </c>
      <c r="C91" s="148"/>
      <c r="D91" s="149"/>
      <c r="E91" s="125"/>
      <c r="F91" s="131"/>
      <c r="G91" s="126">
        <f>G92</f>
        <v>0</v>
      </c>
      <c r="H91" s="126">
        <v>1</v>
      </c>
    </row>
    <row r="92" spans="1:8" ht="31.5" x14ac:dyDescent="0.15">
      <c r="A92" s="118"/>
      <c r="B92" s="119" t="s">
        <v>240</v>
      </c>
      <c r="C92" s="50"/>
      <c r="D92" s="120" t="s">
        <v>358</v>
      </c>
      <c r="E92" s="120"/>
      <c r="F92" s="121"/>
      <c r="G92" s="120">
        <f>IF(C92="Y",1,0)</f>
        <v>0</v>
      </c>
      <c r="H92" s="128">
        <v>1</v>
      </c>
    </row>
    <row r="93" spans="1:8" x14ac:dyDescent="0.15">
      <c r="A93" s="118"/>
      <c r="B93" s="119"/>
      <c r="C93" s="120"/>
      <c r="D93" s="120"/>
      <c r="E93" s="120"/>
      <c r="F93" s="121"/>
      <c r="G93" s="120"/>
      <c r="H93" s="120"/>
    </row>
    <row r="94" spans="1:8" s="113" customFormat="1" ht="12" x14ac:dyDescent="0.2">
      <c r="A94" s="147">
        <v>5.4</v>
      </c>
      <c r="B94" s="143" t="s">
        <v>241</v>
      </c>
      <c r="C94" s="148"/>
      <c r="D94" s="149"/>
      <c r="E94" s="125"/>
      <c r="F94" s="131"/>
      <c r="G94" s="126">
        <f>G96</f>
        <v>0</v>
      </c>
      <c r="H94" s="126">
        <v>2</v>
      </c>
    </row>
    <row r="95" spans="1:8" ht="73.5" x14ac:dyDescent="0.15">
      <c r="A95" s="121"/>
      <c r="B95" s="134" t="s">
        <v>242</v>
      </c>
      <c r="C95" s="120"/>
      <c r="D95" s="120"/>
      <c r="E95" s="120"/>
      <c r="F95" s="121"/>
      <c r="G95" s="120"/>
      <c r="H95" s="121"/>
    </row>
    <row r="96" spans="1:8" x14ac:dyDescent="0.15">
      <c r="A96" s="121"/>
      <c r="B96" s="134" t="s">
        <v>295</v>
      </c>
      <c r="C96" s="50"/>
      <c r="D96" s="120" t="s">
        <v>359</v>
      </c>
      <c r="E96" s="120"/>
      <c r="F96" s="121"/>
      <c r="G96" s="267">
        <f>IF(C96*0.5&gt;=2,2,C96*0.5)</f>
        <v>0</v>
      </c>
      <c r="H96" s="273">
        <v>2</v>
      </c>
    </row>
    <row r="97" spans="1:8" ht="15.75" customHeight="1" x14ac:dyDescent="0.15">
      <c r="A97" s="121"/>
      <c r="B97" s="153"/>
      <c r="C97" s="120"/>
      <c r="D97" s="120"/>
      <c r="E97" s="120"/>
      <c r="F97" s="121"/>
      <c r="G97" s="267"/>
      <c r="H97" s="273"/>
    </row>
    <row r="98" spans="1:8" ht="15.75" customHeight="1" x14ac:dyDescent="0.15">
      <c r="B98" s="154"/>
      <c r="G98" s="267"/>
      <c r="H98" s="273"/>
    </row>
    <row r="99" spans="1:8" ht="15.75" customHeight="1" x14ac:dyDescent="0.15">
      <c r="B99" s="154"/>
      <c r="G99" s="267"/>
      <c r="H99" s="273"/>
    </row>
    <row r="100" spans="1:8" ht="15.75" customHeight="1" x14ac:dyDescent="0.15">
      <c r="B100" s="154"/>
      <c r="G100" s="267"/>
      <c r="H100" s="273"/>
    </row>
    <row r="102" spans="1:8" x14ac:dyDescent="0.15">
      <c r="A102" s="278"/>
      <c r="B102" s="278"/>
      <c r="C102" s="278"/>
      <c r="D102" s="278"/>
      <c r="E102" s="278"/>
      <c r="F102" s="278"/>
      <c r="G102" s="278"/>
      <c r="H102" s="278"/>
    </row>
  </sheetData>
  <sheetProtection algorithmName="SHA-512" hashValue="e+FJOFAzvqh6f+94vIgvpSdET9N1MjfV2IGLDKGfOMVDCQ+GDX/LONctqnQ39msP+UJnZTbgBBb9sgXW1je31w==" saltValue="9X0vvOviBar1Gi/yWhSamQ==" spinCount="100000" sheet="1"/>
  <mergeCells count="20">
    <mergeCell ref="F4:F5"/>
    <mergeCell ref="H81:H84"/>
    <mergeCell ref="G81:G84"/>
    <mergeCell ref="H96:H100"/>
    <mergeCell ref="G96:G100"/>
    <mergeCell ref="G21:G22"/>
    <mergeCell ref="H64:H66"/>
    <mergeCell ref="H7:H9"/>
    <mergeCell ref="H21:H22"/>
    <mergeCell ref="H32:H33"/>
    <mergeCell ref="H37:H41"/>
    <mergeCell ref="H47:H49"/>
    <mergeCell ref="G37:G41"/>
    <mergeCell ref="G47:G49"/>
    <mergeCell ref="G54:G55"/>
    <mergeCell ref="H74:H76"/>
    <mergeCell ref="G59:G60"/>
    <mergeCell ref="H59:H60"/>
    <mergeCell ref="H54:H55"/>
    <mergeCell ref="A102:H102"/>
  </mergeCells>
  <dataValidations count="1">
    <dataValidation type="list" allowBlank="1" showInputMessage="1" showErrorMessage="1" sqref="C7:C9 C13 C16 C18 C21 C32:C33 C37:C39 C41 C55 C59:C60 C64:C66 C89 C92 C70 C74:C76" xr:uid="{00000000-0002-0000-0600-000000000000}">
      <formula1>"Y,N"</formula1>
    </dataValidation>
  </dataValidations>
  <pageMargins left="0.23622047244094491" right="0.23622047244094491" top="0.74803149606299213" bottom="0.74803149606299213" header="0.31496062992125984" footer="0.31496062992125984"/>
  <pageSetup orientation="portrait" r:id="rId1"/>
  <headerFooter>
    <oddHeader>&amp;RGM RB: 2016 Score Card Ver. 1
(w.e.f 02 January  2019)</oddHeader>
    <oddFooter>&amp;RPage &amp;P of &amp;N</oddFooter>
  </headerFooter>
  <rowBreaks count="2" manualBreakCount="2">
    <brk id="43" max="16383" man="1"/>
    <brk id="9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E56"/>
  <sheetViews>
    <sheetView topLeftCell="A3" workbookViewId="0">
      <selection activeCell="F18" sqref="F18"/>
    </sheetView>
  </sheetViews>
  <sheetFormatPr defaultRowHeight="15" x14ac:dyDescent="0.25"/>
  <cols>
    <col min="1" max="3" width="18" customWidth="1"/>
    <col min="4" max="4" width="20.42578125" customWidth="1"/>
  </cols>
  <sheetData>
    <row r="1" spans="1:5" ht="15.75" thickBot="1" x14ac:dyDescent="0.3">
      <c r="A1" s="9" t="s">
        <v>58</v>
      </c>
      <c r="D1" s="13" t="s">
        <v>64</v>
      </c>
    </row>
    <row r="2" spans="1:5" ht="15.75" thickBot="1" x14ac:dyDescent="0.3">
      <c r="A2" s="11" t="s">
        <v>59</v>
      </c>
      <c r="B2" s="10" t="s">
        <v>60</v>
      </c>
      <c r="D2" s="12">
        <v>1</v>
      </c>
    </row>
    <row r="3" spans="1:5" x14ac:dyDescent="0.25">
      <c r="A3" s="3">
        <v>2.5</v>
      </c>
      <c r="B3" s="4">
        <v>1</v>
      </c>
      <c r="D3" s="12">
        <v>2</v>
      </c>
    </row>
    <row r="4" spans="1:5" x14ac:dyDescent="0.25">
      <c r="A4" s="3">
        <v>2.6</v>
      </c>
      <c r="B4" s="4">
        <v>1</v>
      </c>
      <c r="D4" s="12">
        <v>3</v>
      </c>
    </row>
    <row r="5" spans="1:5" x14ac:dyDescent="0.25">
      <c r="A5" s="3">
        <v>2.7</v>
      </c>
      <c r="B5" s="4">
        <v>1</v>
      </c>
    </row>
    <row r="6" spans="1:5" x14ac:dyDescent="0.25">
      <c r="A6" s="3">
        <v>2.8</v>
      </c>
      <c r="B6" s="4">
        <v>1</v>
      </c>
      <c r="D6" s="13" t="s">
        <v>87</v>
      </c>
    </row>
    <row r="7" spans="1:5" ht="15.75" thickBot="1" x14ac:dyDescent="0.3">
      <c r="A7" s="5">
        <v>2.9</v>
      </c>
      <c r="B7" s="6">
        <v>1</v>
      </c>
      <c r="D7" s="12">
        <v>4</v>
      </c>
    </row>
    <row r="8" spans="1:5" x14ac:dyDescent="0.25">
      <c r="A8" s="1">
        <v>3</v>
      </c>
      <c r="B8" s="2">
        <v>1.5</v>
      </c>
      <c r="D8" s="12">
        <v>5</v>
      </c>
    </row>
    <row r="9" spans="1:5" x14ac:dyDescent="0.25">
      <c r="A9" s="3">
        <v>3.1</v>
      </c>
      <c r="B9" s="4">
        <v>1.5</v>
      </c>
      <c r="D9" s="12" t="s">
        <v>88</v>
      </c>
    </row>
    <row r="10" spans="1:5" x14ac:dyDescent="0.25">
      <c r="A10" s="3">
        <v>3.2</v>
      </c>
      <c r="B10" s="4">
        <v>1.5</v>
      </c>
    </row>
    <row r="11" spans="1:5" x14ac:dyDescent="0.25">
      <c r="A11" s="3">
        <v>3.3</v>
      </c>
      <c r="B11" s="4">
        <v>1.5</v>
      </c>
      <c r="D11" t="s">
        <v>259</v>
      </c>
      <c r="E11" t="s">
        <v>60</v>
      </c>
    </row>
    <row r="12" spans="1:5" ht="15.75" thickBot="1" x14ac:dyDescent="0.3">
      <c r="A12" s="5">
        <v>3.4</v>
      </c>
      <c r="B12" s="6">
        <v>1.5</v>
      </c>
      <c r="D12">
        <v>1</v>
      </c>
      <c r="E12">
        <v>1</v>
      </c>
    </row>
    <row r="13" spans="1:5" x14ac:dyDescent="0.25">
      <c r="A13" s="1">
        <v>3.5</v>
      </c>
      <c r="B13" s="2">
        <v>2</v>
      </c>
      <c r="D13">
        <v>2</v>
      </c>
      <c r="E13">
        <v>1.5</v>
      </c>
    </row>
    <row r="14" spans="1:5" x14ac:dyDescent="0.25">
      <c r="A14" s="3">
        <v>3.6</v>
      </c>
      <c r="B14" s="4">
        <v>2</v>
      </c>
      <c r="D14">
        <v>3</v>
      </c>
      <c r="E14">
        <v>2</v>
      </c>
    </row>
    <row r="15" spans="1:5" x14ac:dyDescent="0.25">
      <c r="A15" s="3">
        <v>3.7</v>
      </c>
      <c r="B15" s="4">
        <v>2</v>
      </c>
    </row>
    <row r="16" spans="1:5" x14ac:dyDescent="0.25">
      <c r="A16" s="3">
        <v>3.8</v>
      </c>
      <c r="B16" s="4">
        <v>2</v>
      </c>
    </row>
    <row r="17" spans="1:4" ht="15.75" thickBot="1" x14ac:dyDescent="0.3">
      <c r="A17" s="5">
        <v>3.9</v>
      </c>
      <c r="B17" s="6">
        <v>2</v>
      </c>
      <c r="D17" t="s">
        <v>366</v>
      </c>
    </row>
    <row r="18" spans="1:4" x14ac:dyDescent="0.25">
      <c r="A18" s="1">
        <v>4</v>
      </c>
      <c r="B18" s="2">
        <v>2.5</v>
      </c>
      <c r="D18" t="s">
        <v>367</v>
      </c>
    </row>
    <row r="19" spans="1:4" x14ac:dyDescent="0.25">
      <c r="A19" s="3">
        <v>4.0999999999999996</v>
      </c>
      <c r="B19" s="4">
        <v>2.5</v>
      </c>
    </row>
    <row r="20" spans="1:4" x14ac:dyDescent="0.25">
      <c r="A20" s="3">
        <v>4.2</v>
      </c>
      <c r="B20" s="4">
        <v>2.5</v>
      </c>
    </row>
    <row r="21" spans="1:4" x14ac:dyDescent="0.25">
      <c r="A21" s="3">
        <v>4.3</v>
      </c>
      <c r="B21" s="4">
        <v>2.5</v>
      </c>
      <c r="D21" t="s">
        <v>368</v>
      </c>
    </row>
    <row r="22" spans="1:4" ht="18" thickBot="1" x14ac:dyDescent="0.3">
      <c r="A22" s="5">
        <v>4.4000000000000004</v>
      </c>
      <c r="B22" s="6">
        <v>2.5</v>
      </c>
      <c r="D22" t="s">
        <v>369</v>
      </c>
    </row>
    <row r="23" spans="1:4" ht="15.75" thickBot="1" x14ac:dyDescent="0.3">
      <c r="A23" s="7">
        <v>4.5</v>
      </c>
      <c r="B23" s="8">
        <v>3</v>
      </c>
      <c r="D23" t="s">
        <v>337</v>
      </c>
    </row>
    <row r="25" spans="1:4" ht="15.75" thickBot="1" x14ac:dyDescent="0.3">
      <c r="A25" s="9" t="s">
        <v>251</v>
      </c>
      <c r="B25" s="9"/>
    </row>
    <row r="26" spans="1:4" ht="15.75" thickBot="1" x14ac:dyDescent="0.3">
      <c r="A26" s="11" t="s">
        <v>252</v>
      </c>
      <c r="B26" s="11" t="s">
        <v>60</v>
      </c>
    </row>
    <row r="27" spans="1:4" x14ac:dyDescent="0.25">
      <c r="A27" s="1">
        <v>0.1</v>
      </c>
      <c r="B27" s="2">
        <v>2.5</v>
      </c>
    </row>
    <row r="28" spans="1:4" x14ac:dyDescent="0.25">
      <c r="A28" s="3">
        <v>0.2</v>
      </c>
      <c r="B28" s="4">
        <v>2.5</v>
      </c>
    </row>
    <row r="29" spans="1:4" x14ac:dyDescent="0.25">
      <c r="A29" s="3">
        <v>0.3</v>
      </c>
      <c r="B29" s="4">
        <v>2.5</v>
      </c>
    </row>
    <row r="30" spans="1:4" x14ac:dyDescent="0.25">
      <c r="A30" s="3">
        <v>0.34</v>
      </c>
      <c r="B30" s="4">
        <v>2.5</v>
      </c>
    </row>
    <row r="31" spans="1:4" ht="15.75" thickBot="1" x14ac:dyDescent="0.3">
      <c r="A31" s="5">
        <v>0.35</v>
      </c>
      <c r="B31" s="6">
        <v>2.5</v>
      </c>
    </row>
    <row r="32" spans="1:4" x14ac:dyDescent="0.25">
      <c r="A32" s="1">
        <v>0.36</v>
      </c>
      <c r="B32" s="2">
        <v>2</v>
      </c>
    </row>
    <row r="33" spans="1:2" x14ac:dyDescent="0.25">
      <c r="A33" s="3">
        <v>0.37</v>
      </c>
      <c r="B33" s="4">
        <v>2</v>
      </c>
    </row>
    <row r="34" spans="1:2" x14ac:dyDescent="0.25">
      <c r="A34" s="3">
        <v>0.38</v>
      </c>
      <c r="B34" s="4">
        <v>2</v>
      </c>
    </row>
    <row r="35" spans="1:2" x14ac:dyDescent="0.25">
      <c r="A35" s="3">
        <v>0.39</v>
      </c>
      <c r="B35" s="4">
        <v>2</v>
      </c>
    </row>
    <row r="36" spans="1:2" ht="15.75" thickBot="1" x14ac:dyDescent="0.3">
      <c r="A36" s="5">
        <v>0.4</v>
      </c>
      <c r="B36" s="6">
        <v>2</v>
      </c>
    </row>
    <row r="37" spans="1:2" x14ac:dyDescent="0.25">
      <c r="A37" s="1">
        <v>0.41</v>
      </c>
      <c r="B37" s="2">
        <v>1.5</v>
      </c>
    </row>
    <row r="38" spans="1:2" x14ac:dyDescent="0.25">
      <c r="A38" s="3">
        <v>0.42</v>
      </c>
      <c r="B38" s="4">
        <v>1.5</v>
      </c>
    </row>
    <row r="39" spans="1:2" x14ac:dyDescent="0.25">
      <c r="A39" s="3">
        <v>0.43</v>
      </c>
      <c r="B39" s="4">
        <v>1.5</v>
      </c>
    </row>
    <row r="40" spans="1:2" x14ac:dyDescent="0.25">
      <c r="A40" s="3">
        <v>0.44</v>
      </c>
      <c r="B40" s="4">
        <v>1.5</v>
      </c>
    </row>
    <row r="41" spans="1:2" ht="15.75" thickBot="1" x14ac:dyDescent="0.3">
      <c r="A41" s="5">
        <v>0.45</v>
      </c>
      <c r="B41" s="6">
        <v>1.5</v>
      </c>
    </row>
    <row r="42" spans="1:2" x14ac:dyDescent="0.25">
      <c r="A42" s="1">
        <v>0.46</v>
      </c>
      <c r="B42" s="2">
        <v>1</v>
      </c>
    </row>
    <row r="43" spans="1:2" x14ac:dyDescent="0.25">
      <c r="A43" s="3">
        <v>0.47</v>
      </c>
      <c r="B43" s="4">
        <v>1</v>
      </c>
    </row>
    <row r="44" spans="1:2" x14ac:dyDescent="0.25">
      <c r="A44" s="3">
        <v>0.48</v>
      </c>
      <c r="B44" s="4">
        <v>1</v>
      </c>
    </row>
    <row r="45" spans="1:2" x14ac:dyDescent="0.25">
      <c r="A45" s="3">
        <v>0.49</v>
      </c>
      <c r="B45" s="4">
        <v>1</v>
      </c>
    </row>
    <row r="46" spans="1:2" ht="15.75" thickBot="1" x14ac:dyDescent="0.3">
      <c r="A46" s="5">
        <v>0.5</v>
      </c>
      <c r="B46" s="6">
        <v>1</v>
      </c>
    </row>
    <row r="47" spans="1:2" x14ac:dyDescent="0.25">
      <c r="A47" s="1">
        <v>0.51</v>
      </c>
      <c r="B47" s="2">
        <v>0.5</v>
      </c>
    </row>
    <row r="48" spans="1:2" x14ac:dyDescent="0.25">
      <c r="A48" s="3">
        <v>0.52</v>
      </c>
      <c r="B48" s="4">
        <v>0.5</v>
      </c>
    </row>
    <row r="49" spans="1:2" x14ac:dyDescent="0.25">
      <c r="A49" s="3">
        <v>0.53</v>
      </c>
      <c r="B49" s="4">
        <v>0.5</v>
      </c>
    </row>
    <row r="50" spans="1:2" x14ac:dyDescent="0.25">
      <c r="A50" s="3">
        <v>0.54</v>
      </c>
      <c r="B50" s="4">
        <v>0.5</v>
      </c>
    </row>
    <row r="51" spans="1:2" x14ac:dyDescent="0.25">
      <c r="A51" s="3">
        <v>0.55000000000000004</v>
      </c>
      <c r="B51" s="4">
        <v>0.5</v>
      </c>
    </row>
    <row r="52" spans="1:2" x14ac:dyDescent="0.25">
      <c r="A52" s="3">
        <v>0.56000000000000005</v>
      </c>
      <c r="B52" s="4">
        <v>0.5</v>
      </c>
    </row>
    <row r="53" spans="1:2" x14ac:dyDescent="0.25">
      <c r="A53" s="3">
        <v>0.56999999999999995</v>
      </c>
      <c r="B53" s="4">
        <v>0.5</v>
      </c>
    </row>
    <row r="54" spans="1:2" x14ac:dyDescent="0.25">
      <c r="A54" s="3">
        <v>0.57999999999999996</v>
      </c>
      <c r="B54" s="4">
        <v>0.5</v>
      </c>
    </row>
    <row r="55" spans="1:2" x14ac:dyDescent="0.25">
      <c r="A55" s="3">
        <v>0.59</v>
      </c>
      <c r="B55" s="4">
        <v>0.5</v>
      </c>
    </row>
    <row r="56" spans="1:2" ht="15.75" thickBot="1" x14ac:dyDescent="0.3">
      <c r="A56" s="5">
        <v>0.6</v>
      </c>
      <c r="B56" s="6">
        <v>0.5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Revision Tracking</vt:lpstr>
      <vt:lpstr>Score Summary</vt:lpstr>
      <vt:lpstr>1.Climatic Responsive Design</vt:lpstr>
      <vt:lpstr>2.Building Energy Performance</vt:lpstr>
      <vt:lpstr>3.Resource Stewardship</vt:lpstr>
      <vt:lpstr>4.Smart &amp; Healthy Bldg</vt:lpstr>
      <vt:lpstr>5.Advanced Green Efforts</vt:lpstr>
      <vt:lpstr>Raw Data</vt:lpstr>
      <vt:lpstr>Aircon_Ticks</vt:lpstr>
      <vt:lpstr>'Revision Tracking'!Print_Area</vt:lpstr>
      <vt:lpstr>'Score Summary'!Print_Area</vt:lpstr>
      <vt:lpstr>SGBC_Ticks</vt:lpstr>
      <vt:lpstr>Step</vt:lpstr>
      <vt:lpstr>VentilationSteps</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Hwei Fern NEO (BCA)</dc:creator>
  <cp:lastModifiedBy>Regina AROKIARAJ (BCA)</cp:lastModifiedBy>
  <cp:lastPrinted>2019-06-21T01:40:47Z</cp:lastPrinted>
  <dcterms:created xsi:type="dcterms:W3CDTF">2017-11-03T02:03:51Z</dcterms:created>
  <dcterms:modified xsi:type="dcterms:W3CDTF">2021-12-06T06:59:35Z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288355-fb4c-44cd-b9ca-40cfc2aee5f8_Enabled">
    <vt:lpwstr>true</vt:lpwstr>
  </property>
  <property fmtid="{D5CDD505-2E9C-101B-9397-08002B2CF9AE}" pid="3" name="MSIP_Label_4f288355-fb4c-44cd-b9ca-40cfc2aee5f8_SetDate">
    <vt:lpwstr>2021-12-06T06:56:17Z</vt:lpwstr>
  </property>
  <property fmtid="{D5CDD505-2E9C-101B-9397-08002B2CF9AE}" pid="4" name="MSIP_Label_4f288355-fb4c-44cd-b9ca-40cfc2aee5f8_Method">
    <vt:lpwstr>Standard</vt:lpwstr>
  </property>
  <property fmtid="{D5CDD505-2E9C-101B-9397-08002B2CF9AE}" pid="5" name="MSIP_Label_4f288355-fb4c-44cd-b9ca-40cfc2aee5f8_Name">
    <vt:lpwstr>Non Sensitive_1</vt:lpwstr>
  </property>
  <property fmtid="{D5CDD505-2E9C-101B-9397-08002B2CF9AE}" pid="6" name="MSIP_Label_4f288355-fb4c-44cd-b9ca-40cfc2aee5f8_SiteId">
    <vt:lpwstr>0b11c524-9a1c-4e1b-84cb-6336aefc2243</vt:lpwstr>
  </property>
  <property fmtid="{D5CDD505-2E9C-101B-9397-08002B2CF9AE}" pid="7" name="MSIP_Label_4f288355-fb4c-44cd-b9ca-40cfc2aee5f8_ActionId">
    <vt:lpwstr>619c4e99-b5fb-403e-9543-e67e199cb3d8</vt:lpwstr>
  </property>
  <property fmtid="{D5CDD505-2E9C-101B-9397-08002B2CF9AE}" pid="8" name="MSIP_Label_4f288355-fb4c-44cd-b9ca-40cfc2aee5f8_ContentBits">
    <vt:lpwstr>0</vt:lpwstr>
  </property>
</Properties>
</file>