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gccprod-my.sharepoint.com/personal/lee_jie_hao_bca_gov_sg1/Documents/_M365/UD Performance/UDi/working/"/>
    </mc:Choice>
  </mc:AlternateContent>
  <xr:revisionPtr revIDLastSave="11" documentId="13_ncr:1_{3E2313B7-47FC-491D-B298-6A46D28ABB1B}" xr6:coauthVersionLast="47" xr6:coauthVersionMax="47" xr10:uidLastSave="{CB3CD5A7-6267-4158-BC34-A974F19B1D64}"/>
  <workbookProtection workbookAlgorithmName="SHA-512" workbookHashValue="Bz6uUmg1S2oOmMrcXNH5qSjo3RKKra/vYkd6M0mq2JRZF4bzmTKDky9Gaj2D4hdrOgDM7DXmEf9MGwgVTah4MQ==" workbookSaltValue="PdV7YdXFnWqrUJbOiS8EGg==" workbookSpinCount="100000" lockStructure="1"/>
  <bookViews>
    <workbookView xWindow="-120" yWindow="-120" windowWidth="29040" windowHeight="17520" tabRatio="675" xr2:uid="{753819C0-11FF-46C2-9A71-5801F19C33EF}"/>
  </bookViews>
  <sheets>
    <sheet name="Project Info" sheetId="1" r:id="rId1"/>
    <sheet name="Typologies" sheetId="2" r:id="rId2"/>
    <sheet name="Part 1 - Basic Provisions" sheetId="3" r:id="rId3"/>
    <sheet name="Part 2 - Specific Provisions" sheetId="5" r:id="rId4"/>
    <sheet name="Part 3 - Design Process" sheetId="6" r:id="rId5"/>
    <sheet name="References" sheetId="4" state="hidden" r:id="rId6"/>
    <sheet name="Transfer" sheetId="7" state="hidden" r:id="rId7"/>
  </sheets>
  <definedNames>
    <definedName name="CODEONE">References!$G$40</definedName>
    <definedName name="CODESTAR">INDIRECT(References!$C$47)</definedName>
    <definedName name="CODEZERO">References!$G$38</definedName>
    <definedName name="ELDERHALF">References!$D$39</definedName>
    <definedName name="ELDERONE">References!$D$40</definedName>
    <definedName name="ELDERSTAR">INDIRECT(References!$C$44)</definedName>
    <definedName name="ELDERZERO">References!$D$38</definedName>
    <definedName name="FAMHALF">References!$E$39</definedName>
    <definedName name="FAMONE">References!$E$40</definedName>
    <definedName name="FAMSTAR">INDIRECT(References!$C$45)</definedName>
    <definedName name="FAMZERO">References!$E$38</definedName>
    <definedName name="MUMHALF">References!$F$39</definedName>
    <definedName name="MUMONE">References!$F$40</definedName>
    <definedName name="MUMSTAR">INDIRECT(References!$C$46)</definedName>
    <definedName name="MUMZERO">References!$F$38</definedName>
    <definedName name="_xlnm.Print_Area" localSheetId="2">'Part 1 - Basic Provisions'!$A$1:$H$232</definedName>
    <definedName name="_xlnm.Print_Area" localSheetId="3">'Part 2 - Specific Provisions'!$A$1:$H$57</definedName>
    <definedName name="_xlnm.Print_Area" localSheetId="4">'Part 3 - Design Process'!$A$1:$H$31</definedName>
    <definedName name="_xlnm.Print_Area" localSheetId="1">Typologies!$A$1:$D$27</definedName>
    <definedName name="_xlnm.Print_Titles" localSheetId="2">'Part 1 - Basic Provisions'!$6:$6</definedName>
    <definedName name="_xlnm.Print_Titles" localSheetId="3">'Part 2 - Specific Provisions'!$6:$6</definedName>
    <definedName name="_xlnm.Print_Titles" localSheetId="4">'Part 3 - Design Process'!$6:$6</definedName>
    <definedName name="PWDHALF">References!$C$39</definedName>
    <definedName name="PWDONE">References!$C$40</definedName>
    <definedName name="PWDSTAR">INDIRECT(References!$C$43)</definedName>
    <definedName name="PWDZERO">References!$C$38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H15" i="6"/>
  <c r="H12" i="6"/>
  <c r="IU2" i="7"/>
  <c r="IT2" i="7"/>
  <c r="IS2" i="7"/>
  <c r="IQ2" i="7"/>
  <c r="IR2" i="7"/>
  <c r="IU1" i="7"/>
  <c r="IT1" i="7"/>
  <c r="IS1" i="7"/>
  <c r="IR1" i="7"/>
  <c r="IQ1" i="7"/>
  <c r="IP2" i="7"/>
  <c r="IP1" i="7"/>
  <c r="IO2" i="7"/>
  <c r="IO1" i="7"/>
  <c r="IN2" i="7"/>
  <c r="IN1" i="7"/>
  <c r="E228" i="3"/>
  <c r="G228" i="3"/>
  <c r="H228" i="3"/>
  <c r="F221" i="3"/>
  <c r="G221" i="3"/>
  <c r="H221" i="3"/>
  <c r="I24" i="5"/>
  <c r="E24" i="5"/>
  <c r="F24" i="5"/>
  <c r="G24" i="5"/>
  <c r="H24" i="5"/>
  <c r="H14" i="6"/>
  <c r="I13" i="6" s="1"/>
  <c r="D18" i="3"/>
  <c r="I20" i="3" s="1"/>
  <c r="E16" i="3"/>
  <c r="F16" i="3"/>
  <c r="G16" i="3"/>
  <c r="H16" i="3"/>
  <c r="E17" i="3"/>
  <c r="F17" i="3"/>
  <c r="G17" i="3"/>
  <c r="H17" i="3"/>
  <c r="E10" i="3"/>
  <c r="F10" i="3"/>
  <c r="G10" i="3"/>
  <c r="H10" i="3"/>
  <c r="E11" i="3"/>
  <c r="F11" i="3"/>
  <c r="G11" i="3"/>
  <c r="H11" i="3"/>
  <c r="D11" i="3"/>
  <c r="D12" i="3"/>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C2" i="7"/>
  <c r="D2" i="7"/>
  <c r="G2" i="7"/>
  <c r="E2" i="7"/>
  <c r="F2" i="7"/>
  <c r="I2" i="7"/>
  <c r="J2" i="7"/>
  <c r="K2" i="7"/>
  <c r="L2" i="7"/>
  <c r="M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I19" i="3" l="1"/>
  <c r="H13" i="6"/>
  <c r="G13" i="6"/>
  <c r="F13" i="6"/>
  <c r="E13" i="6"/>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P2" i="7"/>
  <c r="GQ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P16" i="4"/>
  <c r="A2" i="7" a="1"/>
  <c r="A2" i="7" s="1"/>
  <c r="I19" i="6" l="1"/>
  <c r="H11" i="6"/>
  <c r="I10" i="6" s="1"/>
  <c r="H17" i="6"/>
  <c r="I16" i="6" s="1"/>
  <c r="H21" i="6"/>
  <c r="H20" i="6"/>
  <c r="G19" i="6" l="1"/>
  <c r="H231" i="3"/>
  <c r="G231" i="3"/>
  <c r="F231" i="3"/>
  <c r="E231" i="3"/>
  <c r="C232" i="3"/>
  <c r="H56" i="5"/>
  <c r="G56" i="5"/>
  <c r="F56" i="5"/>
  <c r="E56" i="5"/>
  <c r="C57" i="5"/>
  <c r="C31" i="6"/>
  <c r="H30" i="6"/>
  <c r="G30" i="6"/>
  <c r="F30" i="6"/>
  <c r="E30" i="6"/>
  <c r="B12" i="1"/>
  <c r="A6" i="1" l="1"/>
  <c r="H2" i="7"/>
  <c r="H19" i="6"/>
  <c r="F19" i="6"/>
  <c r="E19" i="6"/>
  <c r="D226" i="3"/>
  <c r="D219" i="3"/>
  <c r="E215" i="3"/>
  <c r="F215" i="3"/>
  <c r="G215" i="3"/>
  <c r="H215" i="3"/>
  <c r="E216" i="3"/>
  <c r="F216" i="3"/>
  <c r="G216" i="3"/>
  <c r="H216" i="3"/>
  <c r="E217" i="3"/>
  <c r="F217" i="3"/>
  <c r="G217" i="3"/>
  <c r="H217" i="3"/>
  <c r="E218" i="3"/>
  <c r="F218" i="3"/>
  <c r="G218" i="3"/>
  <c r="H218" i="3"/>
  <c r="E219" i="3"/>
  <c r="F219" i="3"/>
  <c r="G219" i="3"/>
  <c r="H219" i="3"/>
  <c r="F220" i="3"/>
  <c r="G220" i="3"/>
  <c r="H220" i="3"/>
  <c r="F222" i="3"/>
  <c r="G222" i="3"/>
  <c r="H222" i="3"/>
  <c r="E223" i="3"/>
  <c r="F223" i="3"/>
  <c r="G223" i="3"/>
  <c r="H223" i="3"/>
  <c r="E224" i="3"/>
  <c r="F224" i="3"/>
  <c r="G224" i="3"/>
  <c r="H224" i="3"/>
  <c r="E225" i="3"/>
  <c r="F225" i="3"/>
  <c r="G225" i="3"/>
  <c r="H225" i="3"/>
  <c r="E226" i="3"/>
  <c r="F226" i="3"/>
  <c r="G226" i="3"/>
  <c r="H226" i="3"/>
  <c r="E227" i="3"/>
  <c r="G227" i="3"/>
  <c r="H227" i="3"/>
  <c r="E229" i="3"/>
  <c r="G229" i="3"/>
  <c r="H229" i="3"/>
  <c r="F214" i="3"/>
  <c r="G214" i="3"/>
  <c r="H214" i="3"/>
  <c r="E214" i="3"/>
  <c r="E187" i="3"/>
  <c r="F187" i="3"/>
  <c r="G187" i="3"/>
  <c r="H187" i="3"/>
  <c r="E188" i="3"/>
  <c r="F188" i="3"/>
  <c r="G188" i="3"/>
  <c r="H188" i="3"/>
  <c r="E189" i="3"/>
  <c r="F189" i="3"/>
  <c r="H189" i="3"/>
  <c r="E190" i="3"/>
  <c r="F190" i="3"/>
  <c r="H190" i="3"/>
  <c r="E191" i="3"/>
  <c r="F191" i="3"/>
  <c r="G191" i="3"/>
  <c r="H191" i="3"/>
  <c r="E192" i="3"/>
  <c r="F192" i="3"/>
  <c r="G192" i="3"/>
  <c r="H192" i="3"/>
  <c r="E193" i="3"/>
  <c r="F193" i="3"/>
  <c r="G193" i="3"/>
  <c r="H193" i="3"/>
  <c r="E194" i="3"/>
  <c r="F194" i="3"/>
  <c r="H194" i="3"/>
  <c r="E195" i="3"/>
  <c r="F195" i="3"/>
  <c r="H195" i="3"/>
  <c r="E196" i="3"/>
  <c r="F196" i="3"/>
  <c r="H196" i="3"/>
  <c r="E197" i="3"/>
  <c r="F197" i="3"/>
  <c r="G197" i="3"/>
  <c r="H197" i="3"/>
  <c r="E198" i="3"/>
  <c r="F198" i="3"/>
  <c r="G198" i="3"/>
  <c r="H198" i="3"/>
  <c r="E199" i="3"/>
  <c r="F199" i="3"/>
  <c r="G199" i="3"/>
  <c r="H199" i="3"/>
  <c r="E200" i="3"/>
  <c r="F200" i="3"/>
  <c r="H200" i="3"/>
  <c r="E201" i="3"/>
  <c r="F201" i="3"/>
  <c r="H201" i="3"/>
  <c r="E202" i="3"/>
  <c r="F202" i="3"/>
  <c r="G202" i="3"/>
  <c r="H202" i="3"/>
  <c r="E203" i="3"/>
  <c r="F203" i="3"/>
  <c r="G203" i="3"/>
  <c r="H203" i="3"/>
  <c r="E204" i="3"/>
  <c r="F204" i="3"/>
  <c r="G204" i="3"/>
  <c r="H204" i="3"/>
  <c r="E205" i="3"/>
  <c r="F205" i="3"/>
  <c r="H205" i="3"/>
  <c r="E206" i="3"/>
  <c r="F206" i="3"/>
  <c r="H206" i="3"/>
  <c r="E207" i="3"/>
  <c r="F207" i="3"/>
  <c r="G207" i="3"/>
  <c r="H207" i="3"/>
  <c r="E208" i="3"/>
  <c r="F208" i="3"/>
  <c r="G208" i="3"/>
  <c r="H208" i="3"/>
  <c r="E209" i="3"/>
  <c r="F209" i="3"/>
  <c r="G209" i="3"/>
  <c r="H209" i="3"/>
  <c r="E210" i="3"/>
  <c r="F210" i="3"/>
  <c r="H210" i="3"/>
  <c r="E211" i="3"/>
  <c r="F211" i="3"/>
  <c r="H211" i="3"/>
  <c r="E212" i="3"/>
  <c r="F212" i="3"/>
  <c r="G212" i="3"/>
  <c r="H212" i="3"/>
  <c r="I196" i="3"/>
  <c r="G196" i="3" s="1"/>
  <c r="E181" i="3"/>
  <c r="F181" i="3"/>
  <c r="G181" i="3"/>
  <c r="H181" i="3"/>
  <c r="E182" i="3"/>
  <c r="F182" i="3"/>
  <c r="G182" i="3"/>
  <c r="H182" i="3"/>
  <c r="E183" i="3"/>
  <c r="F183" i="3"/>
  <c r="G183" i="3"/>
  <c r="H183" i="3"/>
  <c r="E184" i="3"/>
  <c r="F184" i="3"/>
  <c r="H184" i="3"/>
  <c r="E185" i="3"/>
  <c r="F185" i="3"/>
  <c r="H185" i="3"/>
  <c r="E186" i="3"/>
  <c r="F186" i="3"/>
  <c r="G186" i="3"/>
  <c r="H186" i="3"/>
  <c r="I178" i="3"/>
  <c r="G178" i="3" s="1"/>
  <c r="I177" i="3"/>
  <c r="G177" i="3" s="1"/>
  <c r="E172" i="3"/>
  <c r="F172" i="3"/>
  <c r="G172" i="3"/>
  <c r="H172" i="3"/>
  <c r="E173" i="3"/>
  <c r="F173" i="3"/>
  <c r="G173" i="3"/>
  <c r="H173" i="3"/>
  <c r="E174" i="3"/>
  <c r="F174" i="3"/>
  <c r="G174" i="3"/>
  <c r="H174" i="3"/>
  <c r="E175" i="3"/>
  <c r="F175" i="3"/>
  <c r="H175" i="3"/>
  <c r="E176" i="3"/>
  <c r="F176" i="3"/>
  <c r="H176" i="3"/>
  <c r="E177" i="3"/>
  <c r="F177" i="3"/>
  <c r="H177" i="3"/>
  <c r="E178" i="3"/>
  <c r="F178" i="3"/>
  <c r="H178" i="3"/>
  <c r="E179" i="3"/>
  <c r="F179" i="3"/>
  <c r="G179" i="3"/>
  <c r="H179" i="3"/>
  <c r="E180" i="3"/>
  <c r="F180" i="3"/>
  <c r="G180" i="3"/>
  <c r="H180" i="3"/>
  <c r="E166" i="3"/>
  <c r="F166" i="3"/>
  <c r="E167" i="3"/>
  <c r="F167" i="3"/>
  <c r="E168" i="3"/>
  <c r="F168" i="3"/>
  <c r="E169" i="3"/>
  <c r="F169" i="3"/>
  <c r="E170" i="3"/>
  <c r="F170" i="3"/>
  <c r="G170" i="3"/>
  <c r="H170" i="3"/>
  <c r="E171" i="3"/>
  <c r="F171" i="3"/>
  <c r="G171" i="3"/>
  <c r="H171" i="3"/>
  <c r="I169" i="3"/>
  <c r="H169" i="3" s="1"/>
  <c r="I168" i="3"/>
  <c r="G168" i="3" s="1"/>
  <c r="E162" i="3"/>
  <c r="F162" i="3"/>
  <c r="G162" i="3"/>
  <c r="H162" i="3"/>
  <c r="E163" i="3"/>
  <c r="F163" i="3"/>
  <c r="G163" i="3"/>
  <c r="H163" i="3"/>
  <c r="E164" i="3"/>
  <c r="F164" i="3"/>
  <c r="G164" i="3"/>
  <c r="H164" i="3"/>
  <c r="E165" i="3"/>
  <c r="F165" i="3"/>
  <c r="G165" i="3"/>
  <c r="H165" i="3"/>
  <c r="E156" i="3"/>
  <c r="F156" i="3"/>
  <c r="G156" i="3"/>
  <c r="H156" i="3"/>
  <c r="E157" i="3"/>
  <c r="F157" i="3"/>
  <c r="G157" i="3"/>
  <c r="H157" i="3"/>
  <c r="E158" i="3"/>
  <c r="F158" i="3"/>
  <c r="G158" i="3"/>
  <c r="H158" i="3"/>
  <c r="E159" i="3"/>
  <c r="F159" i="3"/>
  <c r="G159" i="3"/>
  <c r="H159" i="3"/>
  <c r="E160" i="3"/>
  <c r="F160" i="3"/>
  <c r="E161" i="3"/>
  <c r="F161" i="3"/>
  <c r="F155" i="3"/>
  <c r="G155" i="3"/>
  <c r="H155" i="3"/>
  <c r="E155" i="3"/>
  <c r="E153" i="3"/>
  <c r="F153" i="3"/>
  <c r="G153" i="3"/>
  <c r="H153" i="3"/>
  <c r="I152" i="3"/>
  <c r="F152" i="3" s="1"/>
  <c r="E147" i="3"/>
  <c r="F147" i="3"/>
  <c r="G147" i="3"/>
  <c r="H147" i="3"/>
  <c r="E148" i="3"/>
  <c r="F148" i="3"/>
  <c r="G148" i="3"/>
  <c r="H148" i="3"/>
  <c r="E149" i="3"/>
  <c r="G149" i="3"/>
  <c r="H149" i="3"/>
  <c r="E150" i="3"/>
  <c r="G150" i="3"/>
  <c r="H150" i="3"/>
  <c r="E151" i="3"/>
  <c r="F151" i="3"/>
  <c r="G151" i="3"/>
  <c r="H151" i="3"/>
  <c r="E152" i="3"/>
  <c r="G152" i="3"/>
  <c r="H152" i="3"/>
  <c r="E141" i="3"/>
  <c r="F141" i="3"/>
  <c r="G141" i="3"/>
  <c r="H141" i="3"/>
  <c r="E142" i="3"/>
  <c r="F142" i="3"/>
  <c r="G142" i="3"/>
  <c r="H142" i="3"/>
  <c r="E143" i="3"/>
  <c r="G143" i="3"/>
  <c r="H143" i="3"/>
  <c r="E144" i="3"/>
  <c r="G144" i="3"/>
  <c r="H144" i="3"/>
  <c r="E145" i="3"/>
  <c r="G145" i="3"/>
  <c r="H145" i="3"/>
  <c r="E146" i="3"/>
  <c r="F146" i="3"/>
  <c r="G146" i="3"/>
  <c r="H146" i="3"/>
  <c r="I139" i="3"/>
  <c r="E139" i="3" s="1"/>
  <c r="E129" i="3"/>
  <c r="F129" i="3"/>
  <c r="G129" i="3"/>
  <c r="H129" i="3"/>
  <c r="E130" i="3"/>
  <c r="F130" i="3"/>
  <c r="G130" i="3"/>
  <c r="H130" i="3"/>
  <c r="G131" i="3"/>
  <c r="H131" i="3"/>
  <c r="G132" i="3"/>
  <c r="H132" i="3"/>
  <c r="E133" i="3"/>
  <c r="F133" i="3"/>
  <c r="G133" i="3"/>
  <c r="H133" i="3"/>
  <c r="E134" i="3"/>
  <c r="F134" i="3"/>
  <c r="G134" i="3"/>
  <c r="H134" i="3"/>
  <c r="E135" i="3"/>
  <c r="F135" i="3"/>
  <c r="G135" i="3"/>
  <c r="H135" i="3"/>
  <c r="E136" i="3"/>
  <c r="F136" i="3"/>
  <c r="G136" i="3"/>
  <c r="H136" i="3"/>
  <c r="G137" i="3"/>
  <c r="H137" i="3"/>
  <c r="G138" i="3"/>
  <c r="H138" i="3"/>
  <c r="G139" i="3"/>
  <c r="H139" i="3"/>
  <c r="E140" i="3"/>
  <c r="F140" i="3"/>
  <c r="G140" i="3"/>
  <c r="H140" i="3"/>
  <c r="F128" i="3"/>
  <c r="G128" i="3"/>
  <c r="H128" i="3"/>
  <c r="E128" i="3"/>
  <c r="E126" i="3"/>
  <c r="F126" i="3"/>
  <c r="G126" i="3"/>
  <c r="H126" i="3"/>
  <c r="I125" i="3"/>
  <c r="E125" i="3" s="1"/>
  <c r="I124" i="3"/>
  <c r="E124" i="3" s="1"/>
  <c r="I123" i="3"/>
  <c r="E123" i="3" s="1"/>
  <c r="I122" i="3"/>
  <c r="E122" i="3" s="1"/>
  <c r="I121" i="3"/>
  <c r="E121" i="3" s="1"/>
  <c r="F121" i="3"/>
  <c r="G121" i="3"/>
  <c r="H121" i="3"/>
  <c r="F122" i="3"/>
  <c r="G122" i="3"/>
  <c r="H122" i="3"/>
  <c r="F123" i="3"/>
  <c r="G123" i="3"/>
  <c r="H123" i="3"/>
  <c r="F124" i="3"/>
  <c r="G124" i="3"/>
  <c r="H124" i="3"/>
  <c r="F125" i="3"/>
  <c r="G125" i="3"/>
  <c r="H125" i="3"/>
  <c r="F120" i="3"/>
  <c r="G120" i="3"/>
  <c r="H120" i="3"/>
  <c r="E120" i="3"/>
  <c r="E107" i="3"/>
  <c r="F107" i="3"/>
  <c r="G107" i="3"/>
  <c r="H107" i="3"/>
  <c r="E108" i="3"/>
  <c r="F108" i="3"/>
  <c r="G108" i="3"/>
  <c r="H108" i="3"/>
  <c r="E109" i="3"/>
  <c r="F109" i="3"/>
  <c r="G109" i="3"/>
  <c r="H109" i="3"/>
  <c r="E110" i="3"/>
  <c r="F110" i="3"/>
  <c r="G110" i="3"/>
  <c r="H110" i="3"/>
  <c r="G111" i="3"/>
  <c r="H111" i="3"/>
  <c r="G112" i="3"/>
  <c r="H112" i="3"/>
  <c r="E113" i="3"/>
  <c r="F113" i="3"/>
  <c r="G113" i="3"/>
  <c r="H113" i="3"/>
  <c r="E114" i="3"/>
  <c r="F114" i="3"/>
  <c r="G114" i="3"/>
  <c r="H114" i="3"/>
  <c r="G115" i="3"/>
  <c r="H115" i="3"/>
  <c r="G116" i="3"/>
  <c r="H116" i="3"/>
  <c r="G117" i="3"/>
  <c r="H117" i="3"/>
  <c r="E118" i="3"/>
  <c r="F118" i="3"/>
  <c r="G118" i="3"/>
  <c r="H118" i="3"/>
  <c r="H106" i="3"/>
  <c r="G106" i="3"/>
  <c r="F106" i="3"/>
  <c r="E106" i="3"/>
  <c r="I103" i="3"/>
  <c r="E103" i="3" s="1"/>
  <c r="I101" i="3"/>
  <c r="F101" i="3" s="1"/>
  <c r="I99" i="3"/>
  <c r="E99" i="3" s="1"/>
  <c r="I98" i="3"/>
  <c r="E98" i="3" s="1"/>
  <c r="I97" i="3"/>
  <c r="E97" i="3" s="1"/>
  <c r="E95" i="3"/>
  <c r="F95" i="3"/>
  <c r="G95" i="3"/>
  <c r="H95" i="3"/>
  <c r="E96" i="3"/>
  <c r="F96" i="3"/>
  <c r="G96" i="3"/>
  <c r="H96" i="3"/>
  <c r="E100" i="3"/>
  <c r="F100" i="3"/>
  <c r="G100" i="3"/>
  <c r="H100" i="3"/>
  <c r="E102" i="3"/>
  <c r="F102" i="3"/>
  <c r="G102" i="3"/>
  <c r="H102" i="3"/>
  <c r="D102" i="3"/>
  <c r="I92" i="3"/>
  <c r="E92" i="3" s="1"/>
  <c r="I93" i="3"/>
  <c r="E93" i="3" s="1"/>
  <c r="I94" i="3"/>
  <c r="E94" i="3" s="1"/>
  <c r="I91" i="3"/>
  <c r="E91" i="3" s="1"/>
  <c r="F94" i="3"/>
  <c r="G94" i="3"/>
  <c r="H94" i="3"/>
  <c r="E104" i="3"/>
  <c r="F104" i="3"/>
  <c r="G104" i="3"/>
  <c r="H104" i="3"/>
  <c r="F90" i="3"/>
  <c r="G90" i="3"/>
  <c r="H90" i="3"/>
  <c r="E90" i="3"/>
  <c r="E83" i="3"/>
  <c r="F83" i="3"/>
  <c r="G83" i="3"/>
  <c r="H83" i="3"/>
  <c r="E84" i="3"/>
  <c r="G84" i="3"/>
  <c r="E85" i="3"/>
  <c r="G85" i="3"/>
  <c r="E86" i="3"/>
  <c r="H86" i="3"/>
  <c r="F87" i="3"/>
  <c r="H87" i="3"/>
  <c r="E88" i="3"/>
  <c r="F88" i="3"/>
  <c r="G88" i="3"/>
  <c r="H88" i="3"/>
  <c r="I87" i="3"/>
  <c r="E87" i="3" s="1"/>
  <c r="I86" i="3"/>
  <c r="F86" i="3" s="1"/>
  <c r="I85" i="3"/>
  <c r="F85" i="3" s="1"/>
  <c r="I84" i="3"/>
  <c r="F84" i="3" s="1"/>
  <c r="I82" i="3"/>
  <c r="F82" i="3" s="1"/>
  <c r="I81" i="3"/>
  <c r="E81" i="3" s="1"/>
  <c r="I80" i="3"/>
  <c r="H80" i="3" s="1"/>
  <c r="I79" i="3"/>
  <c r="H79" i="3" s="1"/>
  <c r="E74" i="3"/>
  <c r="F74" i="3"/>
  <c r="G74" i="3"/>
  <c r="H74" i="3"/>
  <c r="E75" i="3"/>
  <c r="F75" i="3"/>
  <c r="G75" i="3"/>
  <c r="H75" i="3"/>
  <c r="E76" i="3"/>
  <c r="F76" i="3"/>
  <c r="G76" i="3"/>
  <c r="H76" i="3"/>
  <c r="F77" i="3"/>
  <c r="G77" i="3"/>
  <c r="H77" i="3"/>
  <c r="E79" i="3"/>
  <c r="G79" i="3"/>
  <c r="F81" i="3"/>
  <c r="G81" i="3"/>
  <c r="H81" i="3"/>
  <c r="G82" i="3"/>
  <c r="H82" i="3"/>
  <c r="I70" i="3"/>
  <c r="G70" i="3" s="1"/>
  <c r="I71" i="3"/>
  <c r="G71" i="3" s="1"/>
  <c r="I72" i="3"/>
  <c r="G72" i="3" s="1"/>
  <c r="I69" i="3"/>
  <c r="E69" i="3" s="1"/>
  <c r="E68" i="3"/>
  <c r="F68" i="3"/>
  <c r="G68" i="3"/>
  <c r="H68" i="3"/>
  <c r="E73" i="3"/>
  <c r="F73" i="3"/>
  <c r="G73" i="3"/>
  <c r="H73" i="3"/>
  <c r="I67" i="3"/>
  <c r="E67" i="3" s="1"/>
  <c r="I66" i="3"/>
  <c r="G66" i="3" s="1"/>
  <c r="I65" i="3"/>
  <c r="F65" i="3" s="1"/>
  <c r="I64" i="3"/>
  <c r="G64" i="3" s="1"/>
  <c r="I63" i="3"/>
  <c r="E63" i="3" s="1"/>
  <c r="E66" i="3"/>
  <c r="F66" i="3"/>
  <c r="H66" i="3"/>
  <c r="F67" i="3"/>
  <c r="G67" i="3"/>
  <c r="H67" i="3"/>
  <c r="E53" i="3"/>
  <c r="F53" i="3"/>
  <c r="G53" i="3"/>
  <c r="H53" i="3"/>
  <c r="E57" i="3"/>
  <c r="F57" i="3"/>
  <c r="G57" i="3"/>
  <c r="H57" i="3"/>
  <c r="E59" i="3"/>
  <c r="F59" i="3"/>
  <c r="H59" i="3"/>
  <c r="F60" i="3"/>
  <c r="G60" i="3"/>
  <c r="H60" i="3"/>
  <c r="E62" i="3"/>
  <c r="F62" i="3"/>
  <c r="G62" i="3"/>
  <c r="H62" i="3"/>
  <c r="I61" i="3"/>
  <c r="E61" i="3" s="1"/>
  <c r="I60" i="3"/>
  <c r="E60" i="3" s="1"/>
  <c r="I59" i="3"/>
  <c r="G59" i="3" s="1"/>
  <c r="I58" i="3"/>
  <c r="F58" i="3" s="1"/>
  <c r="I56" i="3"/>
  <c r="E56" i="3" s="1"/>
  <c r="I55" i="3"/>
  <c r="E55" i="3" s="1"/>
  <c r="I54" i="3"/>
  <c r="H54" i="3" s="1"/>
  <c r="I52" i="3"/>
  <c r="G52" i="3" s="1"/>
  <c r="I51" i="3"/>
  <c r="G51" i="3" s="1"/>
  <c r="H50" i="3"/>
  <c r="G50" i="3"/>
  <c r="F50" i="3"/>
  <c r="E50" i="3"/>
  <c r="D47" i="3"/>
  <c r="E41" i="3"/>
  <c r="F41" i="3"/>
  <c r="G41" i="3"/>
  <c r="H41" i="3"/>
  <c r="E42" i="3"/>
  <c r="F42" i="3"/>
  <c r="G42" i="3"/>
  <c r="H42" i="3"/>
  <c r="E43" i="3"/>
  <c r="F43" i="3"/>
  <c r="G43" i="3"/>
  <c r="H43" i="3"/>
  <c r="F63" i="3" l="1"/>
  <c r="H63" i="3"/>
  <c r="G63" i="3"/>
  <c r="F64" i="3"/>
  <c r="H69" i="3"/>
  <c r="E58" i="3"/>
  <c r="H58" i="3"/>
  <c r="G54" i="3"/>
  <c r="G58" i="3"/>
  <c r="E101" i="3"/>
  <c r="E89" i="3" s="1"/>
  <c r="Z2" i="7" s="1"/>
  <c r="H101" i="3"/>
  <c r="G101" i="3"/>
  <c r="H97" i="3"/>
  <c r="G87" i="3"/>
  <c r="G86" i="3"/>
  <c r="H84" i="3"/>
  <c r="F79" i="3"/>
  <c r="E72" i="3"/>
  <c r="F72" i="3"/>
  <c r="H72" i="3"/>
  <c r="F71" i="3"/>
  <c r="E71" i="3"/>
  <c r="H71" i="3"/>
  <c r="F70" i="3"/>
  <c r="E70" i="3"/>
  <c r="H70" i="3"/>
  <c r="G69" i="3"/>
  <c r="F69" i="3"/>
  <c r="E65" i="3"/>
  <c r="H65" i="3"/>
  <c r="G65" i="3"/>
  <c r="E64" i="3"/>
  <c r="H64" i="3"/>
  <c r="H61" i="3"/>
  <c r="G61" i="3"/>
  <c r="F61" i="3"/>
  <c r="H56" i="3"/>
  <c r="G56" i="3"/>
  <c r="F56" i="3"/>
  <c r="H55" i="3"/>
  <c r="G55" i="3"/>
  <c r="F55" i="3"/>
  <c r="E52" i="3"/>
  <c r="F52" i="3"/>
  <c r="H52" i="3"/>
  <c r="E51" i="3"/>
  <c r="F51" i="3"/>
  <c r="H51" i="3"/>
  <c r="H98" i="3"/>
  <c r="G169" i="3"/>
  <c r="H168" i="3"/>
  <c r="F154" i="3"/>
  <c r="AP2" i="7" s="1"/>
  <c r="E154" i="3"/>
  <c r="AD2" i="7" s="1"/>
  <c r="H127" i="3"/>
  <c r="BM2" i="7" s="1"/>
  <c r="G127" i="3"/>
  <c r="BA2" i="7" s="1"/>
  <c r="H119" i="3"/>
  <c r="BL2" i="7" s="1"/>
  <c r="F103" i="3"/>
  <c r="H103" i="3"/>
  <c r="G103" i="3"/>
  <c r="H99" i="3"/>
  <c r="G99" i="3"/>
  <c r="F99" i="3"/>
  <c r="G98" i="3"/>
  <c r="F98" i="3"/>
  <c r="G97" i="3"/>
  <c r="F97" i="3"/>
  <c r="G119" i="3"/>
  <c r="AZ2" i="7" s="1"/>
  <c r="F119" i="3"/>
  <c r="AN2" i="7" s="1"/>
  <c r="E119" i="3"/>
  <c r="AB2" i="7" s="1"/>
  <c r="H105" i="3"/>
  <c r="BK2" i="7" s="1"/>
  <c r="G105" i="3"/>
  <c r="AY2" i="7" s="1"/>
  <c r="E54" i="3"/>
  <c r="F54" i="3"/>
  <c r="F139" i="3"/>
  <c r="F93" i="3"/>
  <c r="H93" i="3"/>
  <c r="G93" i="3"/>
  <c r="H92" i="3"/>
  <c r="G92" i="3"/>
  <c r="F92" i="3"/>
  <c r="G91" i="3"/>
  <c r="H91" i="3"/>
  <c r="F91" i="3"/>
  <c r="H85" i="3"/>
  <c r="F80" i="3"/>
  <c r="E80" i="3"/>
  <c r="G80" i="3"/>
  <c r="E82" i="3"/>
  <c r="H89" i="3" l="1"/>
  <c r="BJ2" i="7" s="1"/>
  <c r="F89" i="3"/>
  <c r="AL2" i="7" s="1"/>
  <c r="G89" i="3"/>
  <c r="AX2" i="7" s="1"/>
  <c r="D40" i="3"/>
  <c r="E35" i="3"/>
  <c r="F35" i="3"/>
  <c r="G35" i="3"/>
  <c r="H35" i="3"/>
  <c r="E36" i="3"/>
  <c r="F36" i="3"/>
  <c r="G36" i="3"/>
  <c r="H36" i="3"/>
  <c r="F37" i="3"/>
  <c r="G37" i="3"/>
  <c r="H37" i="3"/>
  <c r="F38" i="3"/>
  <c r="G38" i="3"/>
  <c r="H38" i="3"/>
  <c r="F39" i="3"/>
  <c r="G39" i="3"/>
  <c r="H39" i="3"/>
  <c r="F40" i="3"/>
  <c r="G40" i="3"/>
  <c r="H40" i="3"/>
  <c r="I28" i="3"/>
  <c r="E28" i="3" s="1"/>
  <c r="I29" i="3"/>
  <c r="F29" i="3" s="1"/>
  <c r="I30" i="3"/>
  <c r="H30" i="3" s="1"/>
  <c r="I31" i="3"/>
  <c r="E31" i="3" s="1"/>
  <c r="I27" i="3"/>
  <c r="F27" i="3" s="1"/>
  <c r="E26" i="3"/>
  <c r="F26" i="3"/>
  <c r="G26" i="3"/>
  <c r="H26" i="3"/>
  <c r="E32" i="3"/>
  <c r="F32" i="3"/>
  <c r="G32" i="3"/>
  <c r="H32" i="3"/>
  <c r="E33" i="3"/>
  <c r="F33" i="3"/>
  <c r="G33" i="3"/>
  <c r="H33" i="3"/>
  <c r="E34" i="3"/>
  <c r="F34" i="3"/>
  <c r="G34" i="3"/>
  <c r="H34" i="3"/>
  <c r="E22" i="3"/>
  <c r="F22" i="3"/>
  <c r="G22" i="3"/>
  <c r="H22" i="3"/>
  <c r="E25" i="3"/>
  <c r="F25" i="3"/>
  <c r="G25" i="3"/>
  <c r="H25" i="3"/>
  <c r="E8" i="3"/>
  <c r="F8" i="3"/>
  <c r="G8" i="3"/>
  <c r="H8" i="3"/>
  <c r="I24" i="3"/>
  <c r="F24" i="3" s="1"/>
  <c r="I23" i="3"/>
  <c r="G23" i="3" s="1"/>
  <c r="E18" i="3"/>
  <c r="F18" i="3"/>
  <c r="G18" i="3"/>
  <c r="H18" i="3"/>
  <c r="F9" i="3"/>
  <c r="G9" i="3"/>
  <c r="H9" i="3"/>
  <c r="F12" i="3"/>
  <c r="G12" i="3"/>
  <c r="H12" i="3"/>
  <c r="E12" i="3"/>
  <c r="E9" i="3"/>
  <c r="D9" i="3"/>
  <c r="I15" i="3" s="1"/>
  <c r="H28" i="3" l="1"/>
  <c r="E29" i="3"/>
  <c r="I14" i="3"/>
  <c r="E14" i="3" s="1"/>
  <c r="I13" i="3"/>
  <c r="H13" i="3" s="1"/>
  <c r="G30" i="3"/>
  <c r="H31" i="3"/>
  <c r="F31" i="3"/>
  <c r="G31" i="3"/>
  <c r="F30" i="3"/>
  <c r="E30" i="3"/>
  <c r="H29" i="3"/>
  <c r="G29" i="3"/>
  <c r="G28" i="3"/>
  <c r="F28" i="3"/>
  <c r="G27" i="3"/>
  <c r="E27" i="3"/>
  <c r="H27" i="3"/>
  <c r="G19" i="3"/>
  <c r="H24" i="3"/>
  <c r="G24" i="3"/>
  <c r="E15" i="3"/>
  <c r="E24" i="3"/>
  <c r="E23" i="3"/>
  <c r="F23" i="3"/>
  <c r="H23" i="3"/>
  <c r="I21" i="3"/>
  <c r="D76" i="3"/>
  <c r="D75" i="3"/>
  <c r="D110" i="3"/>
  <c r="D109" i="3"/>
  <c r="I112" i="3" s="1"/>
  <c r="D114" i="3"/>
  <c r="D130" i="3"/>
  <c r="D136" i="3"/>
  <c r="D135" i="3"/>
  <c r="D142" i="3"/>
  <c r="I145" i="3" s="1"/>
  <c r="F145" i="3" s="1"/>
  <c r="D148" i="3"/>
  <c r="D158" i="3"/>
  <c r="D159" i="3"/>
  <c r="D164" i="3"/>
  <c r="D165" i="3"/>
  <c r="D174" i="3"/>
  <c r="D173" i="3"/>
  <c r="D183" i="3"/>
  <c r="D188" i="3"/>
  <c r="D193" i="3"/>
  <c r="D199" i="3"/>
  <c r="D204" i="3"/>
  <c r="D209" i="3"/>
  <c r="F14" i="3" l="1"/>
  <c r="H14" i="3"/>
  <c r="G14" i="3"/>
  <c r="E112" i="3"/>
  <c r="F112" i="3"/>
  <c r="I78" i="3"/>
  <c r="I211" i="3"/>
  <c r="G211" i="3" s="1"/>
  <c r="I210" i="3"/>
  <c r="G210" i="3" s="1"/>
  <c r="I205" i="3"/>
  <c r="G205" i="3" s="1"/>
  <c r="I206" i="3"/>
  <c r="G206" i="3" s="1"/>
  <c r="I201" i="3"/>
  <c r="G201" i="3" s="1"/>
  <c r="I200" i="3"/>
  <c r="G200" i="3" s="1"/>
  <c r="I195" i="3"/>
  <c r="G195" i="3" s="1"/>
  <c r="I194" i="3"/>
  <c r="G194" i="3" s="1"/>
  <c r="I190" i="3"/>
  <c r="G190" i="3" s="1"/>
  <c r="I189" i="3"/>
  <c r="G189" i="3" s="1"/>
  <c r="I184" i="3"/>
  <c r="G184" i="3" s="1"/>
  <c r="I185" i="3"/>
  <c r="G185" i="3" s="1"/>
  <c r="I176" i="3"/>
  <c r="G176" i="3" s="1"/>
  <c r="I175" i="3"/>
  <c r="G175" i="3" s="1"/>
  <c r="H19" i="3"/>
  <c r="E19" i="3"/>
  <c r="F19" i="3"/>
  <c r="I166" i="3"/>
  <c r="I167" i="3"/>
  <c r="H15" i="3"/>
  <c r="F15" i="3"/>
  <c r="G15" i="3"/>
  <c r="E13" i="3"/>
  <c r="G13" i="3"/>
  <c r="F13" i="3"/>
  <c r="I117" i="3"/>
  <c r="I115" i="3"/>
  <c r="E20" i="3"/>
  <c r="F20" i="3"/>
  <c r="G20" i="3"/>
  <c r="H20" i="3"/>
  <c r="H21" i="3"/>
  <c r="G21" i="3"/>
  <c r="E21" i="3"/>
  <c r="F21" i="3"/>
  <c r="I161" i="3"/>
  <c r="I160" i="3"/>
  <c r="I149" i="3"/>
  <c r="F149" i="3" s="1"/>
  <c r="I150" i="3"/>
  <c r="F150" i="3" s="1"/>
  <c r="I144" i="3"/>
  <c r="F144" i="3" s="1"/>
  <c r="I143" i="3"/>
  <c r="F143" i="3" s="1"/>
  <c r="I137" i="3"/>
  <c r="E137" i="3" s="1"/>
  <c r="I138" i="3"/>
  <c r="I132" i="3"/>
  <c r="I131" i="3"/>
  <c r="I116" i="3"/>
  <c r="I111" i="3"/>
  <c r="I77" i="3"/>
  <c r="E77" i="3" s="1"/>
  <c r="B214" i="3"/>
  <c r="C224" i="3" s="1"/>
  <c r="D51" i="5"/>
  <c r="I53" i="5" s="1"/>
  <c r="B42" i="5"/>
  <c r="B21" i="5"/>
  <c r="E53" i="5"/>
  <c r="F53" i="5"/>
  <c r="H53" i="5"/>
  <c r="E54" i="5"/>
  <c r="F54" i="5"/>
  <c r="H54" i="5"/>
  <c r="H52" i="5"/>
  <c r="F52" i="5"/>
  <c r="E52" i="5"/>
  <c r="G45" i="5"/>
  <c r="H45" i="5"/>
  <c r="E46" i="5"/>
  <c r="G46" i="5"/>
  <c r="H46" i="5"/>
  <c r="G47" i="5"/>
  <c r="H47" i="5"/>
  <c r="G48" i="5"/>
  <c r="H48" i="5"/>
  <c r="F49" i="5"/>
  <c r="G49" i="5"/>
  <c r="H49" i="5"/>
  <c r="G37" i="5"/>
  <c r="H37" i="5"/>
  <c r="G38" i="5"/>
  <c r="H38" i="5"/>
  <c r="G39" i="5"/>
  <c r="H39" i="5"/>
  <c r="G36" i="5"/>
  <c r="H36" i="5"/>
  <c r="F31" i="5"/>
  <c r="G31" i="5"/>
  <c r="H31" i="5"/>
  <c r="G34" i="5"/>
  <c r="H34" i="5"/>
  <c r="F30" i="5"/>
  <c r="G30" i="5"/>
  <c r="H30" i="5"/>
  <c r="H27" i="5"/>
  <c r="F23" i="5"/>
  <c r="G23" i="5"/>
  <c r="H23" i="5"/>
  <c r="F9" i="5"/>
  <c r="G9" i="5"/>
  <c r="H9" i="5"/>
  <c r="E10" i="5"/>
  <c r="G10" i="5"/>
  <c r="H10" i="5"/>
  <c r="H11" i="5"/>
  <c r="F12" i="5"/>
  <c r="H12" i="5"/>
  <c r="G13" i="5"/>
  <c r="H13" i="5"/>
  <c r="F14" i="5"/>
  <c r="G14" i="5"/>
  <c r="H14" i="5"/>
  <c r="F15" i="5"/>
  <c r="H15" i="5"/>
  <c r="F16" i="5"/>
  <c r="H16" i="5"/>
  <c r="F17" i="5"/>
  <c r="G17" i="5"/>
  <c r="H17" i="5"/>
  <c r="F18" i="5"/>
  <c r="G18" i="5"/>
  <c r="H18" i="5"/>
  <c r="G8" i="5"/>
  <c r="H8" i="5"/>
  <c r="I9" i="5"/>
  <c r="E9" i="5" s="1"/>
  <c r="I10" i="5"/>
  <c r="F10" i="5" s="1"/>
  <c r="I11" i="5"/>
  <c r="F11" i="5" s="1"/>
  <c r="I12" i="5"/>
  <c r="E12" i="5" s="1"/>
  <c r="I13" i="5"/>
  <c r="E13" i="5" s="1"/>
  <c r="I14" i="5"/>
  <c r="E14" i="5" s="1"/>
  <c r="I15" i="5"/>
  <c r="E15" i="5" s="1"/>
  <c r="I16" i="5"/>
  <c r="G16" i="5" s="1"/>
  <c r="I17" i="5"/>
  <c r="E17" i="5" s="1"/>
  <c r="I18" i="5"/>
  <c r="E18" i="5" s="1"/>
  <c r="I23" i="5"/>
  <c r="E23" i="5" s="1"/>
  <c r="I25" i="5"/>
  <c r="F25" i="5" s="1"/>
  <c r="I26" i="5"/>
  <c r="H26" i="5" s="1"/>
  <c r="I27" i="5"/>
  <c r="G27" i="5" s="1"/>
  <c r="I28" i="5"/>
  <c r="H28" i="5" s="1"/>
  <c r="I29" i="5"/>
  <c r="I30" i="5"/>
  <c r="E30" i="5" s="1"/>
  <c r="I31" i="5"/>
  <c r="E31" i="5" s="1"/>
  <c r="I32" i="5"/>
  <c r="E32" i="5" s="1"/>
  <c r="I33" i="5"/>
  <c r="E33" i="5" s="1"/>
  <c r="I34" i="5"/>
  <c r="E34" i="5" s="1"/>
  <c r="I35" i="5"/>
  <c r="I36" i="5"/>
  <c r="E36" i="5" s="1"/>
  <c r="I37" i="5"/>
  <c r="E37" i="5" s="1"/>
  <c r="I38" i="5"/>
  <c r="F38" i="5" s="1"/>
  <c r="I39" i="5"/>
  <c r="F39" i="5" s="1"/>
  <c r="I44" i="5"/>
  <c r="G44" i="5" s="1"/>
  <c r="I45" i="5"/>
  <c r="E45" i="5" s="1"/>
  <c r="I46" i="5"/>
  <c r="F46" i="5" s="1"/>
  <c r="I47" i="5"/>
  <c r="F47" i="5" s="1"/>
  <c r="I48" i="5"/>
  <c r="E48" i="5" s="1"/>
  <c r="I49" i="5"/>
  <c r="E49" i="5" s="1"/>
  <c r="I54" i="5"/>
  <c r="G54" i="5" s="1"/>
  <c r="I8" i="5"/>
  <c r="F8" i="5" s="1"/>
  <c r="G16" i="6"/>
  <c r="F10" i="6"/>
  <c r="E115" i="3" l="1"/>
  <c r="F115" i="3"/>
  <c r="E117" i="3"/>
  <c r="F117" i="3"/>
  <c r="E111" i="3"/>
  <c r="F111" i="3"/>
  <c r="E116" i="3"/>
  <c r="F116" i="3"/>
  <c r="H16" i="6"/>
  <c r="F16" i="6"/>
  <c r="F4" i="6" s="1"/>
  <c r="H166" i="3"/>
  <c r="G166" i="3"/>
  <c r="G167" i="3"/>
  <c r="H167" i="3"/>
  <c r="F27" i="5"/>
  <c r="E27" i="5"/>
  <c r="F36" i="5"/>
  <c r="E16" i="5"/>
  <c r="G11" i="5"/>
  <c r="GR2" i="7"/>
  <c r="F34" i="5"/>
  <c r="H33" i="5"/>
  <c r="G33" i="5"/>
  <c r="F33" i="5"/>
  <c r="H32" i="5"/>
  <c r="G32" i="5"/>
  <c r="F32" i="5"/>
  <c r="G28" i="5"/>
  <c r="F28" i="5"/>
  <c r="E28" i="5"/>
  <c r="F26" i="5"/>
  <c r="E26" i="5"/>
  <c r="G26" i="5"/>
  <c r="G15" i="5"/>
  <c r="F13" i="5"/>
  <c r="F7" i="5" s="1"/>
  <c r="AR2" i="7" s="1"/>
  <c r="G12" i="5"/>
  <c r="E11" i="5"/>
  <c r="H7" i="5"/>
  <c r="BP2" i="7" s="1"/>
  <c r="E8" i="5"/>
  <c r="D215" i="3"/>
  <c r="G213" i="3"/>
  <c r="BC2" i="7" s="1"/>
  <c r="H213" i="3"/>
  <c r="BO2" i="7" s="1"/>
  <c r="C217" i="3"/>
  <c r="GO2" i="7" s="1"/>
  <c r="G160" i="3"/>
  <c r="H160" i="3"/>
  <c r="H161" i="3"/>
  <c r="G161" i="3"/>
  <c r="F137" i="3"/>
  <c r="F138" i="3"/>
  <c r="E138" i="3"/>
  <c r="E131" i="3"/>
  <c r="F131" i="3"/>
  <c r="F132" i="3"/>
  <c r="E132" i="3"/>
  <c r="G78" i="3"/>
  <c r="G49" i="3" s="1"/>
  <c r="AW2" i="7" s="1"/>
  <c r="F78" i="3"/>
  <c r="F49" i="3" s="1"/>
  <c r="AK2" i="7" s="1"/>
  <c r="H78" i="3"/>
  <c r="H49" i="3" s="1"/>
  <c r="BI2" i="7" s="1"/>
  <c r="E78" i="3"/>
  <c r="E49" i="3" s="1"/>
  <c r="Y2" i="7" s="1"/>
  <c r="G53" i="5"/>
  <c r="I52" i="5"/>
  <c r="G52" i="5" s="1"/>
  <c r="G25" i="5"/>
  <c r="E25" i="5"/>
  <c r="H25" i="5"/>
  <c r="F37" i="5"/>
  <c r="E38" i="5"/>
  <c r="E39" i="5"/>
  <c r="H44" i="5"/>
  <c r="H41" i="5" s="1"/>
  <c r="BR2" i="7" s="1"/>
  <c r="F44" i="5"/>
  <c r="E44" i="5"/>
  <c r="F45" i="5"/>
  <c r="E47" i="5"/>
  <c r="F48" i="5"/>
  <c r="E16" i="6"/>
  <c r="H10" i="6"/>
  <c r="E10" i="6"/>
  <c r="G10" i="6"/>
  <c r="G7" i="6" s="1"/>
  <c r="BG2" i="7" s="1"/>
  <c r="E7" i="6" l="1"/>
  <c r="AI2" i="7" s="1"/>
  <c r="H7" i="6"/>
  <c r="BS2" i="7" s="1"/>
  <c r="E105" i="3"/>
  <c r="AA2" i="7" s="1"/>
  <c r="F105" i="3"/>
  <c r="AM2" i="7" s="1"/>
  <c r="F7" i="6"/>
  <c r="AU2" i="7" s="1"/>
  <c r="E4" i="6"/>
  <c r="E31" i="6" s="1"/>
  <c r="H4" i="6"/>
  <c r="H31" i="6" s="1"/>
  <c r="F41" i="5"/>
  <c r="AT2" i="7" s="1"/>
  <c r="F127" i="3"/>
  <c r="AO2" i="7" s="1"/>
  <c r="G4" i="6"/>
  <c r="G31" i="6" s="1"/>
  <c r="E127" i="3"/>
  <c r="AC2" i="7" s="1"/>
  <c r="H154" i="3"/>
  <c r="BN2" i="7" s="1"/>
  <c r="G154" i="3"/>
  <c r="BB2" i="7" s="1"/>
  <c r="E41" i="5"/>
  <c r="AH2" i="7" s="1"/>
  <c r="F20" i="5"/>
  <c r="AS2" i="7" s="1"/>
  <c r="H20" i="5"/>
  <c r="BQ2" i="7" s="1"/>
  <c r="G20" i="5"/>
  <c r="BE2" i="7" s="1"/>
  <c r="E20" i="5"/>
  <c r="AG2" i="7" s="1"/>
  <c r="G7" i="5"/>
  <c r="BD2" i="7" s="1"/>
  <c r="D225" i="3"/>
  <c r="E7" i="5"/>
  <c r="AF2" i="7" s="1"/>
  <c r="F31" i="6"/>
  <c r="G41" i="5"/>
  <c r="BF2" i="7" s="1"/>
  <c r="D218" i="3"/>
  <c r="I221" i="3" s="1"/>
  <c r="E221" i="3" s="1"/>
  <c r="I229" i="3" l="1"/>
  <c r="F229" i="3" s="1"/>
  <c r="I228" i="3"/>
  <c r="F228" i="3" s="1"/>
  <c r="I227" i="3"/>
  <c r="F227" i="3" s="1"/>
  <c r="F213" i="3" s="1"/>
  <c r="AQ2" i="7" s="1"/>
  <c r="H4" i="5"/>
  <c r="H57" i="5" s="1"/>
  <c r="F4" i="5"/>
  <c r="F57" i="5" s="1"/>
  <c r="E4" i="5"/>
  <c r="E57" i="5" s="1"/>
  <c r="G4" i="5"/>
  <c r="I220" i="3"/>
  <c r="E220" i="3" s="1"/>
  <c r="I222" i="3"/>
  <c r="E222" i="3" s="1"/>
  <c r="C33" i="3"/>
  <c r="A2" i="2"/>
  <c r="G57" i="5" l="1"/>
  <c r="E213" i="3"/>
  <c r="AE2" i="7" s="1"/>
  <c r="D35" i="3"/>
  <c r="D36" i="3"/>
  <c r="D43" i="3"/>
  <c r="D42" i="3"/>
  <c r="I39" i="3" l="1"/>
  <c r="E39" i="3" s="1"/>
  <c r="I46" i="3"/>
  <c r="I40" i="3"/>
  <c r="E40" i="3" s="1"/>
  <c r="I45" i="3"/>
  <c r="I47" i="3"/>
  <c r="I44" i="3"/>
  <c r="I38" i="3"/>
  <c r="E38" i="3" s="1"/>
  <c r="I37" i="3"/>
  <c r="E37" i="3" s="1"/>
  <c r="E44" i="3" l="1"/>
  <c r="H44" i="3"/>
  <c r="F44" i="3"/>
  <c r="G44" i="3"/>
  <c r="F47" i="3"/>
  <c r="G47" i="3"/>
  <c r="H47" i="3"/>
  <c r="E47" i="3"/>
  <c r="H45" i="3"/>
  <c r="E45" i="3"/>
  <c r="G45" i="3"/>
  <c r="F45" i="3"/>
  <c r="E46" i="3"/>
  <c r="G46" i="3"/>
  <c r="F46" i="3"/>
  <c r="H46" i="3"/>
  <c r="E7" i="3" l="1"/>
  <c r="X2" i="7" s="1"/>
  <c r="G7" i="3"/>
  <c r="AV2" i="7" s="1"/>
  <c r="F7" i="3"/>
  <c r="AJ2" i="7" s="1"/>
  <c r="H7" i="3"/>
  <c r="BH2" i="7" s="1"/>
  <c r="F4" i="3" l="1"/>
  <c r="H4" i="3"/>
  <c r="G4" i="3"/>
  <c r="E4" i="3"/>
  <c r="F30" i="1" s="1"/>
  <c r="G30" i="1" l="1"/>
  <c r="T2" i="7"/>
  <c r="F31" i="1"/>
  <c r="G232" i="3"/>
  <c r="F32" i="1"/>
  <c r="H232" i="3"/>
  <c r="F33" i="1"/>
  <c r="F232" i="3"/>
  <c r="E232" i="3"/>
  <c r="B30" i="1"/>
  <c r="B31" i="1"/>
  <c r="B33" i="1" l="1"/>
  <c r="W2" i="7"/>
  <c r="B32" i="1"/>
  <c r="V2" i="7"/>
  <c r="G31" i="1"/>
  <c r="C31" i="1" s="1"/>
  <c r="U2" i="7"/>
  <c r="L20" i="4"/>
  <c r="N20" i="4" s="1"/>
  <c r="P2" i="7"/>
  <c r="G32" i="1"/>
  <c r="G33" i="1"/>
  <c r="G34" i="1"/>
  <c r="L21" i="4" l="1"/>
  <c r="N21" i="4" s="1"/>
  <c r="Q2" i="7"/>
  <c r="L23" i="4"/>
  <c r="N23" i="4" s="1"/>
  <c r="S2" i="7"/>
  <c r="L22" i="4"/>
  <c r="N22" i="4" s="1"/>
  <c r="R2" i="7"/>
  <c r="H31" i="1"/>
  <c r="C44" i="4" s="1"/>
  <c r="C33" i="1"/>
  <c r="C35" i="1"/>
  <c r="C34" i="1"/>
  <c r="H34" i="1"/>
  <c r="C47" i="4" s="1"/>
  <c r="H32" i="1"/>
  <c r="C45" i="4" s="1"/>
  <c r="H30" i="1"/>
  <c r="C43" i="4" s="1"/>
  <c r="H33" i="1"/>
  <c r="C46" i="4" s="1"/>
  <c r="C32" i="1"/>
  <c r="C30" i="1"/>
  <c r="G23" i="1"/>
  <c r="N2" i="7" s="1"/>
  <c r="N19" i="4" l="1"/>
  <c r="O19" i="4" s="1"/>
  <c r="C21" i="4" s="1"/>
  <c r="F23" i="1"/>
  <c r="C22" i="4" l="1"/>
  <c r="B23" i="1"/>
  <c r="O2" i="7" s="1"/>
  <c r="B24"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<sst xmlns="http://schemas.openxmlformats.org/spreadsheetml/2006/main" count="835" uniqueCount="585">
  <si>
    <t>Universal Design index</t>
  </si>
  <si>
    <t>INSTRUCTIONS</t>
  </si>
  <si>
    <t>Inputs are required within yellow coloured cells only.</t>
  </si>
  <si>
    <t>PROJECT INFORMATION</t>
  </si>
  <si>
    <t>Project Reference Number</t>
  </si>
  <si>
    <t>Description of Building Works</t>
  </si>
  <si>
    <t>Address of Building</t>
  </si>
  <si>
    <t>Postal Code(s)
(to separate with commas)</t>
  </si>
  <si>
    <t>Development Name, if any
(to indicate "Nil" if there is none)</t>
  </si>
  <si>
    <r>
      <t>Total GFA (m</t>
    </r>
    <r>
      <rPr>
        <vertAlign val="superscript"/>
        <sz val="11"/>
        <color theme="1"/>
        <rFont val="Calibri"/>
        <family val="2"/>
        <scheme val="minor"/>
      </rPr>
      <t>2</t>
    </r>
    <r>
      <rPr>
        <sz val="11"/>
        <color theme="1"/>
        <rFont val="Calibri"/>
        <family val="2"/>
        <scheme val="minor"/>
      </rPr>
      <t>)</t>
    </r>
  </si>
  <si>
    <t>Compliance to version of Code</t>
  </si>
  <si>
    <t>Declared information in this form applies to</t>
  </si>
  <si>
    <t>Name of Developer Firm</t>
  </si>
  <si>
    <t>Name of Professional Firm</t>
  </si>
  <si>
    <t>Name of Qualified Person</t>
  </si>
  <si>
    <t>Consent to Publish Information</t>
  </si>
  <si>
    <t>By submitting the UDi checklist, you consent to BCA collecting, using, disclosing and/or publishing the information provided. Such information relates to the facilities within a building, which are generally observable by members of the public, and may be published on BCA's website for the purpose of informing the public on the accessibility features and the UDi rating of the building.</t>
  </si>
  <si>
    <t>Development's 
UDindex Rating</t>
  </si>
  <si>
    <t>Level of User-friendliness Achieved by User Groups</t>
  </si>
  <si>
    <t>Auto-computed from inputs in Part 1, 2 and 3, where applicable</t>
  </si>
  <si>
    <t>User Group</t>
  </si>
  <si>
    <t>User-friendly level</t>
  </si>
  <si>
    <t>Points</t>
  </si>
  <si>
    <t>Star</t>
  </si>
  <si>
    <t>StarImage</t>
  </si>
  <si>
    <t>Persons with Disabilities</t>
  </si>
  <si>
    <t>Elderly</t>
  </si>
  <si>
    <t>Families with Young Children</t>
  </si>
  <si>
    <t>Nursing / Expectant Mothers</t>
  </si>
  <si>
    <t>All user groups - Code Compliant</t>
  </si>
  <si>
    <t>Mandatory</t>
  </si>
  <si>
    <t>Total</t>
  </si>
  <si>
    <t>User-friendliness Levels</t>
  </si>
  <si>
    <t>UDindex Rating</t>
  </si>
  <si>
    <t>TYPOLOGIES WITHIN DEVELOPMENT</t>
  </si>
  <si>
    <r>
      <t>GFA (m</t>
    </r>
    <r>
      <rPr>
        <b/>
        <vertAlign val="superscript"/>
        <sz val="11"/>
        <color theme="1"/>
        <rFont val="Calibri"/>
        <family val="2"/>
        <scheme val="minor"/>
      </rPr>
      <t>2</t>
    </r>
    <r>
      <rPr>
        <b/>
        <sz val="11"/>
        <color theme="1"/>
        <rFont val="Calibri"/>
        <family val="2"/>
        <scheme val="minor"/>
      </rPr>
      <t>)</t>
    </r>
  </si>
  <si>
    <t>No. of Standard Car Park Lots</t>
  </si>
  <si>
    <t>Non-landed Residential</t>
  </si>
  <si>
    <t>4 storeys and below (without lift access)</t>
  </si>
  <si>
    <t>4 storeys and below (with lift access)</t>
  </si>
  <si>
    <t>5 storeys and above</t>
  </si>
  <si>
    <t>Conserved Shophouses 
(Commercial on first storey, Residential on upper storey)</t>
  </si>
  <si>
    <t>Office buildings including business parks</t>
  </si>
  <si>
    <t>Shopping complexes and multi-purpose complexes</t>
  </si>
  <si>
    <t>Hotels, boarding houses, chalets and backpacker hotels</t>
  </si>
  <si>
    <t>Serviced apartments</t>
  </si>
  <si>
    <t>Sports complexes and public swimming pools</t>
  </si>
  <si>
    <t>Places of public resort including zoos, wildlife parks, community clubs, country clubs, theme parks, amusement parks etc.</t>
  </si>
  <si>
    <t>Places of worship</t>
  </si>
  <si>
    <t>Transport terminals and interchanges including airport, bus and MRT interchanges, railway sations, cruise centres etc</t>
  </si>
  <si>
    <t>Markets, hawker or food centres</t>
  </si>
  <si>
    <t>Schools</t>
  </si>
  <si>
    <t>Preschools, primary and secondary school including their hostels, halls of residences and dormitories</t>
  </si>
  <si>
    <t>Colleges, universities and other institutions of learning including their hostels, halls of residences and dormitories</t>
  </si>
  <si>
    <t>Hospitals</t>
  </si>
  <si>
    <t>Polyclinics, health-care centres and specialist outpatient clinics</t>
  </si>
  <si>
    <t>Nursing homes, homes for the aged and welfare homes</t>
  </si>
  <si>
    <t>Factories, workshops, industrial buildings and office/showroom areas in warehouses</t>
  </si>
  <si>
    <t>Purpose-built workers dormitories</t>
  </si>
  <si>
    <t>Vehicle parks including surface parking, vehicle parking buildings or vehicle parking facilities within a building</t>
  </si>
  <si>
    <t>Parks and open spaces including civic plazas</t>
  </si>
  <si>
    <t>Part 1- ACCESSIBILITY AND UD PROVISIONS</t>
  </si>
  <si>
    <t>For Persons with Disabilities</t>
  </si>
  <si>
    <t>For the Elderly</t>
  </si>
  <si>
    <t>For Families with Young Children</t>
  </si>
  <si>
    <t>For Expectant / Nursing Mothers</t>
  </si>
  <si>
    <t>Total Points Scored</t>
  </si>
  <si>
    <t>Inputs</t>
  </si>
  <si>
    <t>Max Points</t>
  </si>
  <si>
    <t>Points Scored for Persons with Disabilities</t>
  </si>
  <si>
    <t>Points Scored for Elderly</t>
  </si>
  <si>
    <t>Points Scored for Families with Young Children</t>
  </si>
  <si>
    <t>Points Scored for Expectant / Nursing Mothers</t>
  </si>
  <si>
    <t>Scored?</t>
  </si>
  <si>
    <t>Applicable to PwD</t>
  </si>
  <si>
    <t>Applicable to Elderly</t>
  </si>
  <si>
    <t>Applicable to Families Children</t>
  </si>
  <si>
    <t>Applicable to Mothers</t>
  </si>
  <si>
    <t>A</t>
  </si>
  <si>
    <t>ACCESS</t>
  </si>
  <si>
    <t>A.1</t>
  </si>
  <si>
    <t>Accessible Pedestrian Entrances into the Building/Development</t>
  </si>
  <si>
    <t>A.1.1</t>
  </si>
  <si>
    <t>Number of pedestrian entrances into building/development</t>
  </si>
  <si>
    <t>Accessible entrances into building/development</t>
  </si>
  <si>
    <t>Code requirements</t>
  </si>
  <si>
    <t>A.1.2</t>
  </si>
  <si>
    <t>Number of accessible entrances provided</t>
  </si>
  <si>
    <t>- Code compliant</t>
  </si>
  <si>
    <t>- More than required accessible entrances</t>
  </si>
  <si>
    <t>- All  entrances are accessible (provided it is more than Code requirements)</t>
  </si>
  <si>
    <t>Sheltered accessible entrances from outside the development into the building/development</t>
  </si>
  <si>
    <t>A.1.3</t>
  </si>
  <si>
    <t>Number of sheltered accessible entrances provided</t>
  </si>
  <si>
    <t>- More than required sheltered accessible external routes into building/development</t>
  </si>
  <si>
    <t>- All accessible external route into building/development are sheltered (provided there are more than 1 entrances)</t>
  </si>
  <si>
    <t>A.2</t>
  </si>
  <si>
    <t>Accessible Alighting and Boarding Point</t>
  </si>
  <si>
    <t>A.2.1</t>
  </si>
  <si>
    <t>Seating provided at accessible alighting and boarding point</t>
  </si>
  <si>
    <t>N</t>
  </si>
  <si>
    <t>A.2.2</t>
  </si>
  <si>
    <t>More than 1 sheltered accessible alighting and boarding point</t>
  </si>
  <si>
    <t>A.3</t>
  </si>
  <si>
    <t>Inter-Connectivity</t>
  </si>
  <si>
    <t>Provision of accessible inter-connectivity from building/development to -</t>
  </si>
  <si>
    <t>A.3.1</t>
  </si>
  <si>
    <t>buildings within the same development</t>
  </si>
  <si>
    <t>A.3.2</t>
  </si>
  <si>
    <t>adjacent development(s)</t>
  </si>
  <si>
    <t>A.3.3</t>
  </si>
  <si>
    <t>transport infrastructure (within 200m), such as bus stop, bus interchange, MRT or LRT station</t>
  </si>
  <si>
    <t>A.3.4</t>
  </si>
  <si>
    <t>street infrastructure (within 200m), such as traffic junction crossings, pedestrian overhead bridge or underpass</t>
  </si>
  <si>
    <t>A.3.5</t>
  </si>
  <si>
    <t>Park connector or cycling network</t>
  </si>
  <si>
    <t>Car Parking</t>
  </si>
  <si>
    <t>Total number of car park lots in development (Excluding accessible parking lots)</t>
  </si>
  <si>
    <t>A.4</t>
  </si>
  <si>
    <t>A.4.1</t>
  </si>
  <si>
    <t>A.4.2</t>
  </si>
  <si>
    <t>- Beyond Code compliance (up to double of required numbers)</t>
  </si>
  <si>
    <t>- Beyond Code compliance (more than 2 and more than double of required numbers)</t>
  </si>
  <si>
    <t>A.4.3</t>
  </si>
  <si>
    <t>Number of accessible parking lots with electric charging station(s)</t>
  </si>
  <si>
    <t>A.5</t>
  </si>
  <si>
    <t>A.5.1</t>
  </si>
  <si>
    <t>A.5.2</t>
  </si>
  <si>
    <t>- More than required by Code and up to 1% of car park lots</t>
  </si>
  <si>
    <t>- More than 1% or car park lots (provided no. of family parking lots are provided beyond Code requirements)</t>
  </si>
  <si>
    <t>A.5.3</t>
  </si>
  <si>
    <t>B</t>
  </si>
  <si>
    <t>CIRCULATION</t>
  </si>
  <si>
    <t>B.1</t>
  </si>
  <si>
    <t>Pedestrian Walkways in Car Park</t>
  </si>
  <si>
    <t>B.1.1</t>
  </si>
  <si>
    <t>Provision of designated pedestrian walkways in car park, that are outside the vehicular driveway</t>
  </si>
  <si>
    <t>B.1.2</t>
  </si>
  <si>
    <t>Provision of designated pedestrian crossings in car park</t>
  </si>
  <si>
    <t>B.2</t>
  </si>
  <si>
    <t>Accessible Circulation Routes</t>
  </si>
  <si>
    <t>B.2.1</t>
  </si>
  <si>
    <t>- 1 circulation route leading to all accessible spaces and facilities of width complying with Code requirements</t>
  </si>
  <si>
    <t>Y</t>
  </si>
  <si>
    <t>B.2.2</t>
  </si>
  <si>
    <t>- 1 circulation route leading to all accessible spaces and facilities of width wider than Code requirements</t>
  </si>
  <si>
    <t>B.2.3</t>
  </si>
  <si>
    <t>- All circulation routes are accessible with widths more than 1.5m</t>
  </si>
  <si>
    <t>B.3</t>
  </si>
  <si>
    <t>Ramps</t>
  </si>
  <si>
    <t>B.3.1</t>
  </si>
  <si>
    <t>B.3.2</t>
  </si>
  <si>
    <t>Secondary handrails are provided for children</t>
  </si>
  <si>
    <t>B.3.3</t>
  </si>
  <si>
    <t>Braille and tactile indicators are provided on handrails</t>
  </si>
  <si>
    <t>B.3.4</t>
  </si>
  <si>
    <t>Ramp landings are greater than 1.5m deep</t>
  </si>
  <si>
    <t>B.4</t>
  </si>
  <si>
    <t>Staircases</t>
  </si>
  <si>
    <t>B.4.1</t>
  </si>
  <si>
    <t>B.4.2</t>
  </si>
  <si>
    <t>Staircases are provided with minimum tread width of 300mm and maximum riser height of 150mm</t>
  </si>
  <si>
    <t>B.4.3</t>
  </si>
  <si>
    <t>Handrails are provided on both sides of staircases</t>
  </si>
  <si>
    <t>B.4.4</t>
  </si>
  <si>
    <t>B.4.5</t>
  </si>
  <si>
    <r>
      <t xml:space="preserve">Braille and tactile indicators are provided on handrails </t>
    </r>
    <r>
      <rPr>
        <b/>
        <sz val="11"/>
        <color theme="1"/>
        <rFont val="Calibri"/>
        <family val="2"/>
        <scheme val="minor"/>
      </rPr>
      <t>and</t>
    </r>
    <r>
      <rPr>
        <sz val="11"/>
        <color theme="1"/>
        <rFont val="Calibri"/>
        <family val="2"/>
        <scheme val="minor"/>
      </rPr>
      <t xml:space="preserve"> wall at storey landing</t>
    </r>
  </si>
  <si>
    <t>B.5</t>
  </si>
  <si>
    <t>Escalators / Travellators</t>
  </si>
  <si>
    <t>B.5.1</t>
  </si>
  <si>
    <t>Escalators are provided with minimum three horizontal steps / Travellators provided with horizontal section at landings</t>
  </si>
  <si>
    <t>B.5.2</t>
  </si>
  <si>
    <t>Additional safety barrier taller than handrail height provided</t>
  </si>
  <si>
    <t>B.5.3</t>
  </si>
  <si>
    <t>Guiderails provided at escalator landings to segregate circulation flow</t>
  </si>
  <si>
    <t>B.5.4</t>
  </si>
  <si>
    <t>Audio feedback on direction of travel or reaching the end of travellators</t>
  </si>
  <si>
    <t>B.6</t>
  </si>
  <si>
    <t>Lifts and Lift Lobbies</t>
  </si>
  <si>
    <t>B.6.1</t>
  </si>
  <si>
    <t>Number of passenger lifts provided</t>
  </si>
  <si>
    <t>B.6.2</t>
  </si>
  <si>
    <t>Number of accessible lifts required</t>
  </si>
  <si>
    <t>B.6.3</t>
  </si>
  <si>
    <t>Number of accessible lifts provided</t>
  </si>
  <si>
    <t>- all passenger lifts are accessible (provided there is more than 1 accessible lift)</t>
  </si>
  <si>
    <t>B.6.4</t>
  </si>
  <si>
    <t>Seating provided at lift lobbies (within 10m of lifts)</t>
  </si>
  <si>
    <t>B.6.5</t>
  </si>
  <si>
    <t>Lift lanterns provided to indicate arrival of lift</t>
  </si>
  <si>
    <t>B.6.6</t>
  </si>
  <si>
    <t>Emergency communication system linked to an induction loop system</t>
  </si>
  <si>
    <t>B.6.7</t>
  </si>
  <si>
    <t>Emergency visual information display system or visual alarm (flashing beacons/lights)</t>
  </si>
  <si>
    <t>B.7</t>
  </si>
  <si>
    <t>Resting Areas</t>
  </si>
  <si>
    <t>B.7.1</t>
  </si>
  <si>
    <t>Adequate seating provided (at all spaces where users are likely to gather and at 25m intervals)</t>
  </si>
  <si>
    <t>B.7.2</t>
  </si>
  <si>
    <t>Seats fitted with grab bars/arm rests or backrests</t>
  </si>
  <si>
    <t>B.7.3</t>
  </si>
  <si>
    <t>Adjacent seats of varying heights to cater to users of different statures</t>
  </si>
  <si>
    <t>B.7.4</t>
  </si>
  <si>
    <t>Adjacent space(s) for wheelchair users and/or baby carriage(s)</t>
  </si>
  <si>
    <t>C</t>
  </si>
  <si>
    <t>WAY-FINDING</t>
  </si>
  <si>
    <t>C.1</t>
  </si>
  <si>
    <t>Signage</t>
  </si>
  <si>
    <t>C.1.1</t>
  </si>
  <si>
    <t>Provision of building directory with maps or accessible interactive directory/kiosk located prominently at main accessible entrance/lobby</t>
  </si>
  <si>
    <t>C.1.2</t>
  </si>
  <si>
    <t>Use of easily understood pictograms on signs</t>
  </si>
  <si>
    <t>C.1.3</t>
  </si>
  <si>
    <t>Use of contrast between text and background on non-reflective signs (no glare from ambient or artifical lighting)</t>
  </si>
  <si>
    <t>C.1.4</t>
  </si>
  <si>
    <t>Indication of distance to accessible features</t>
  </si>
  <si>
    <t>C.2</t>
  </si>
  <si>
    <t>Physical Design</t>
  </si>
  <si>
    <t>Use of shapes, colours, patterns or graphics for easy identification at;</t>
  </si>
  <si>
    <t>C.2.1</t>
  </si>
  <si>
    <t>key spatial zones or circulation routes/paths, such as distinct colours for different lift lobbies</t>
  </si>
  <si>
    <t>C.2.2</t>
  </si>
  <si>
    <t>car parking zones</t>
  </si>
  <si>
    <t>C.2.3</t>
  </si>
  <si>
    <t>blocks (for multi-block development)</t>
  </si>
  <si>
    <t>C.3</t>
  </si>
  <si>
    <t>Information Counters</t>
  </si>
  <si>
    <t>C.3.1</t>
  </si>
  <si>
    <t>Information counters are provided</t>
  </si>
  <si>
    <t>C.3.2</t>
  </si>
  <si>
    <t>Location(s) (to indicate storey, separated by commas,e.g. B1,1,3)</t>
  </si>
  <si>
    <t>C.3.3</t>
  </si>
  <si>
    <t>- information counter is located on same floor as main  accessible entrance</t>
  </si>
  <si>
    <t>D</t>
  </si>
  <si>
    <t>HEARING IMPAIRED PROVISIONS</t>
  </si>
  <si>
    <t>D.1</t>
  </si>
  <si>
    <t>Hearing Enhancement Systems (HES)</t>
  </si>
  <si>
    <t>Hearing Enhancement Systems (HES) at Main Public Information / Service Counters</t>
  </si>
  <si>
    <t>D.1.1</t>
  </si>
  <si>
    <t>Code requirement</t>
  </si>
  <si>
    <t>D.1.2</t>
  </si>
  <si>
    <t>Number of counters provided with HES</t>
  </si>
  <si>
    <t>D.1.3</t>
  </si>
  <si>
    <t>-Beyond Code compliance</t>
  </si>
  <si>
    <t>D.1.4</t>
  </si>
  <si>
    <t>HES provided in any space or room with a floor area more than 75sqm used for conferences, meetings, lectures, classes, presentations, performances or films</t>
  </si>
  <si>
    <t>N.A.</t>
  </si>
  <si>
    <t>D.1.5</t>
  </si>
  <si>
    <t>Percentage of provision</t>
  </si>
  <si>
    <t>- More than 75% of seats in audience seating</t>
  </si>
  <si>
    <t>- 100% of seats in audience seating</t>
  </si>
  <si>
    <t>E</t>
  </si>
  <si>
    <t>VISUALLY IMPAIRED PROVISIONS</t>
  </si>
  <si>
    <t>E.1</t>
  </si>
  <si>
    <t>Additional Provisions for Persons with Visual Impairments</t>
  </si>
  <si>
    <t>E.1.1</t>
  </si>
  <si>
    <t>Provision of seating arrangement within fixed seating of auditoriums and halls for a guide dog owner and a guide dog by the aisle</t>
  </si>
  <si>
    <t>E.1.2</t>
  </si>
  <si>
    <t>Provision of braille and tactile building directory</t>
  </si>
  <si>
    <t>E.1.3</t>
  </si>
  <si>
    <t>Provision of braille and tactile signs for rooms/units/spaces</t>
  </si>
  <si>
    <t>E.1.4</t>
  </si>
  <si>
    <t>Provision of directional tactile tiles or floor finish with contrasting texture and colour from accessible entrance to information counter</t>
  </si>
  <si>
    <t>E.1.5</t>
  </si>
  <si>
    <t>Provision of directional tactile tiles linking two transport nodes (e.g. MRT station to Integrated Transport Hub through a private development)</t>
  </si>
  <si>
    <t>F</t>
  </si>
  <si>
    <t>ACCESSIBLE SANITARY FACILITIES</t>
  </si>
  <si>
    <t>F.1</t>
  </si>
  <si>
    <t>Larger Accessible Individual Washroom (Accessible individual washroom of at least 1.8 m x 2.1 m)</t>
  </si>
  <si>
    <t>F.1.1</t>
  </si>
  <si>
    <t>Number of larger accessible individual washrooms (at least 1.8 m by 2.1 m) required by Code</t>
  </si>
  <si>
    <t>F.1.2</t>
  </si>
  <si>
    <t>Number of larger accessible individual washrooms  (at least 1.8 m by 2.1 m) provided</t>
  </si>
  <si>
    <t>- Beyond Code compliance</t>
  </si>
  <si>
    <t>F.2</t>
  </si>
  <si>
    <t>F.2.1</t>
  </si>
  <si>
    <t>Number of accessible changing rooms required by Code</t>
  </si>
  <si>
    <t>F.2.2</t>
  </si>
  <si>
    <t>Number of accessible changing rooms provided</t>
  </si>
  <si>
    <t>F.2.3</t>
  </si>
  <si>
    <t>Location(s) (to indicate storey, seperated by commas,e.g. B1,1,3)</t>
  </si>
  <si>
    <t>-Code compliant</t>
  </si>
  <si>
    <t>F.2.4</t>
  </si>
  <si>
    <t>Mechanical hoist is provided in the accessible changing room</t>
  </si>
  <si>
    <t>F.3</t>
  </si>
  <si>
    <t>Ambulant friendly toilets/cubicles</t>
  </si>
  <si>
    <t>F.3.1</t>
  </si>
  <si>
    <t>Number of ambulant friendly toilet cubicles required by Code</t>
  </si>
  <si>
    <t>F.3.2</t>
  </si>
  <si>
    <t>Number of ambulant friendly toilet cubicles provided</t>
  </si>
  <si>
    <t>F.4</t>
  </si>
  <si>
    <t>Ambulant friendly urinals</t>
  </si>
  <si>
    <t>F.4.1</t>
  </si>
  <si>
    <t>Number of ambulant friendly urinals required</t>
  </si>
  <si>
    <t>F.4.2</t>
  </si>
  <si>
    <t>Number of ambulant friendly urinals provided</t>
  </si>
  <si>
    <t xml:space="preserve">- Beyond Code compliance </t>
  </si>
  <si>
    <t>F.5</t>
  </si>
  <si>
    <t>Ambulant friendly wash basins</t>
  </si>
  <si>
    <t>F.5.1</t>
  </si>
  <si>
    <t>Provision of grab bars on both sides of wash basin(s)</t>
  </si>
  <si>
    <t>G</t>
  </si>
  <si>
    <t>FAMILY FRIENDLY SANITARY FACILITIES</t>
  </si>
  <si>
    <t>G.1</t>
  </si>
  <si>
    <t>Family Toilets</t>
  </si>
  <si>
    <t>G.1.1</t>
  </si>
  <si>
    <t>G.1.2</t>
  </si>
  <si>
    <t>G.1.3</t>
  </si>
  <si>
    <t>G.2</t>
  </si>
  <si>
    <t>Nursing Facilities</t>
  </si>
  <si>
    <t>G.2.1</t>
  </si>
  <si>
    <t>Number of lactation room(s) required by Code</t>
  </si>
  <si>
    <t>G.2.2</t>
  </si>
  <si>
    <t>Number of lactation room(s) provided</t>
  </si>
  <si>
    <t>G.2.3</t>
  </si>
  <si>
    <t>G.2.4</t>
  </si>
  <si>
    <t>Designated nursing room (partitioned lactation area(s) with seat(s), wash basin, diaper changing station/counters, hot water dispenser)</t>
  </si>
  <si>
    <t>G.2.5</t>
  </si>
  <si>
    <t>G.3</t>
  </si>
  <si>
    <t>Children's Toilet</t>
  </si>
  <si>
    <t>Designated children's toilet fitted with child-friendly sanitary facilities (child-sized water closet(s), wash basin(s) and mirror)</t>
  </si>
  <si>
    <t>G.3.1</t>
  </si>
  <si>
    <t>Number of designated children's toilet(s) required by Code</t>
  </si>
  <si>
    <t>G.3.2</t>
  </si>
  <si>
    <t>Number of designated children's toilet(s) provided</t>
  </si>
  <si>
    <t>G.3.3</t>
  </si>
  <si>
    <t>G.3.4</t>
  </si>
  <si>
    <t>Urinal provided within designated children's toilet</t>
  </si>
  <si>
    <t>G.3.5</t>
  </si>
  <si>
    <t>Shower provided within designated children's toilet</t>
  </si>
  <si>
    <t>Child-friendly Sanitary Facilities in Gender Specific Toilets</t>
  </si>
  <si>
    <t>- Numbers to exclude those found in designated family or children's toilets
- Except for urinals, all other features must be provided in BOTH male and female toilets</t>
  </si>
  <si>
    <t>G.4</t>
  </si>
  <si>
    <t>Child-friendly basins</t>
  </si>
  <si>
    <t>G.4.1</t>
  </si>
  <si>
    <t>Number of child-friendly basin required</t>
  </si>
  <si>
    <t>G.4.2</t>
  </si>
  <si>
    <t>Number of child-friendly basin provided</t>
  </si>
  <si>
    <t>G.5</t>
  </si>
  <si>
    <t>Child-friendly water closets (seat adapters on normal sized and height water closets are not considered to comply)</t>
  </si>
  <si>
    <t>G.5.1</t>
  </si>
  <si>
    <t>Number of child-friendly water closets required</t>
  </si>
  <si>
    <t>G.5.2</t>
  </si>
  <si>
    <t>Number of child-friendly water closets provided</t>
  </si>
  <si>
    <t>G.6</t>
  </si>
  <si>
    <t>Child-friendly urinals</t>
  </si>
  <si>
    <t>G.6.1</t>
  </si>
  <si>
    <t>Number of child-friendly urinals required</t>
  </si>
  <si>
    <t>G.6.2</t>
  </si>
  <si>
    <t>Number of child-friendly urinals provided</t>
  </si>
  <si>
    <t>G.6.3</t>
  </si>
  <si>
    <t>Provision of child-friendly urinal in female toilet</t>
  </si>
  <si>
    <t>G.7</t>
  </si>
  <si>
    <t>Child-friendly showers
(where child can shower independently)</t>
  </si>
  <si>
    <t>G.7.1</t>
  </si>
  <si>
    <t>Number of child-friendly showers required</t>
  </si>
  <si>
    <t>G.7.2</t>
  </si>
  <si>
    <t>Number of child-friendly showers provided</t>
  </si>
  <si>
    <t>G.8</t>
  </si>
  <si>
    <t>Child-protection seats in cubicles</t>
  </si>
  <si>
    <t>G.8.1</t>
  </si>
  <si>
    <t>Number of child-protection seats required</t>
  </si>
  <si>
    <t>G.8.2</t>
  </si>
  <si>
    <t>Number of child-protection seats provided</t>
  </si>
  <si>
    <t>- Code complaint</t>
  </si>
  <si>
    <t>G.9</t>
  </si>
  <si>
    <t>Diaper Changing Stations</t>
  </si>
  <si>
    <t>G.9.1</t>
  </si>
  <si>
    <t>Number of diaper changing stations required</t>
  </si>
  <si>
    <t>G.9.2</t>
  </si>
  <si>
    <t>Number of diaper changing stations provided</t>
  </si>
  <si>
    <t>H</t>
  </si>
  <si>
    <t>ACCESSIBLE &amp; ELDER-FRIENDLY ROOMS</t>
  </si>
  <si>
    <t>H.1</t>
  </si>
  <si>
    <t>Total number of rooms</t>
  </si>
  <si>
    <t>H.2</t>
  </si>
  <si>
    <t>Accessible Rooms</t>
  </si>
  <si>
    <t>H.2.1</t>
  </si>
  <si>
    <t>Number of accessible rooms required by Code</t>
  </si>
  <si>
    <t>H.2.2</t>
  </si>
  <si>
    <t>Number of accessible rooms provided</t>
  </si>
  <si>
    <t>H.2.3</t>
  </si>
  <si>
    <t>- Beyond Code compliance and more than 3% of rooms</t>
  </si>
  <si>
    <t>H.3</t>
  </si>
  <si>
    <t>Elder-friendly Rooms</t>
  </si>
  <si>
    <t>H.3.1</t>
  </si>
  <si>
    <t>Number of elder-friendly rooms required by Code</t>
  </si>
  <si>
    <t>H.3.2</t>
  </si>
  <si>
    <t>Number of elder-friendly rooms provided</t>
  </si>
  <si>
    <t>H.3.3</t>
  </si>
  <si>
    <t>- Beyond Code compliance and more than 5% of rooms</t>
  </si>
  <si>
    <t>Part 2 -SPECIFIC UD FEATURES</t>
  </si>
  <si>
    <t>J</t>
  </si>
  <si>
    <t>SOCIAL &amp; RECREATIONAL FACILITIES</t>
  </si>
  <si>
    <t>J.1.1</t>
  </si>
  <si>
    <t>Community gardening with access for wheelchair users</t>
  </si>
  <si>
    <t>J.1.2</t>
  </si>
  <si>
    <t>Gymnasium with equipment for wheelchair users</t>
  </si>
  <si>
    <t>J.1.3</t>
  </si>
  <si>
    <t>Outdoor fitness stations with equipment for elderly</t>
  </si>
  <si>
    <t>J.1.4</t>
  </si>
  <si>
    <t>3G (Three Generation) concept in the placement of play and fitness areas</t>
  </si>
  <si>
    <t>J.1.5</t>
  </si>
  <si>
    <t>Children's play area with play equipment for children with disabilities</t>
  </si>
  <si>
    <t>J.1.6</t>
  </si>
  <si>
    <t>Swimming pool with means of access for wheelchair users and accessible rinsing shower</t>
  </si>
  <si>
    <t>J.1.7</t>
  </si>
  <si>
    <t>Multi-purpose courts/sports courts/auditorium with fixed seating and designated wheelchair seating spaces or braille and tactile row indicators</t>
  </si>
  <si>
    <t>J.1.8</t>
  </si>
  <si>
    <t>Quiet room for persons with special needs</t>
  </si>
  <si>
    <t>J.1.9</t>
  </si>
  <si>
    <t>Accessible drinking fountains</t>
  </si>
  <si>
    <t>J.1.10</t>
  </si>
  <si>
    <t>Accessible letterboxes</t>
  </si>
  <si>
    <t>J.1.11</t>
  </si>
  <si>
    <t>Accessible BBQ facilities</t>
  </si>
  <si>
    <t>K</t>
  </si>
  <si>
    <t>RESIDENTIAL UD FEATURES</t>
  </si>
  <si>
    <t>K.1</t>
  </si>
  <si>
    <t>Ease of Movement</t>
  </si>
  <si>
    <t>K.1.1</t>
  </si>
  <si>
    <t>levelled entrance into unit</t>
  </si>
  <si>
    <t>K.1.2</t>
  </si>
  <si>
    <t>vertical grab bar at unit main door</t>
  </si>
  <si>
    <t>K.1.3</t>
  </si>
  <si>
    <t>keyless lockset for main door</t>
  </si>
  <si>
    <t>K.1.4</t>
  </si>
  <si>
    <t>lowered window height for unobstructed view</t>
  </si>
  <si>
    <t>K.1.5</t>
  </si>
  <si>
    <t>levelled entry into bathroom</t>
  </si>
  <si>
    <t>K.2</t>
  </si>
  <si>
    <t>User-friendly interfaces</t>
  </si>
  <si>
    <t>K.2.1</t>
  </si>
  <si>
    <t>K.2.2</t>
  </si>
  <si>
    <t>accessible carpentry, such as countertops of adjustable/varying fixed levels, mobile furniture units for flexibility in use, pull-down cabinet shelving system/wardrobe</t>
  </si>
  <si>
    <t>K.2.3</t>
  </si>
  <si>
    <t>smart home system with assistive features, such as voice controls or app integration with assistive functions</t>
  </si>
  <si>
    <t>K.2.4</t>
  </si>
  <si>
    <t>ease of M&amp;E services use, such as two-way light switches, labels to switches and motion sensor lighting</t>
  </si>
  <si>
    <t>K.2.5</t>
  </si>
  <si>
    <t>K.3</t>
  </si>
  <si>
    <t>Additional safety / assistive features</t>
  </si>
  <si>
    <t>K.3.1</t>
  </si>
  <si>
    <t>built-in seat in shower stall</t>
  </si>
  <si>
    <t>K.3.2</t>
  </si>
  <si>
    <t>visual doorbells with vibration/light indicators</t>
  </si>
  <si>
    <t>K.3.3</t>
  </si>
  <si>
    <t>adjustable/retractable clothes drying rack</t>
  </si>
  <si>
    <t>K.3.4</t>
  </si>
  <si>
    <t>emergency pull-cord/button</t>
  </si>
  <si>
    <t>L</t>
  </si>
  <si>
    <t>HOTEL, HOSTELS, SERVICE APARTMENTS UD FEATURES</t>
  </si>
  <si>
    <t>L.1</t>
  </si>
  <si>
    <t>Elder-friendly In-Room Facilities/Services</t>
  </si>
  <si>
    <t>L.1.1</t>
  </si>
  <si>
    <t>Night light in bathroom</t>
  </si>
  <si>
    <t>L.1.2</t>
  </si>
  <si>
    <t>Furniture/fixtures that are easy to operate, such as pull-down wardrobe rails</t>
  </si>
  <si>
    <t>L.1.3</t>
  </si>
  <si>
    <t>Larger font types for in-room guides or larger buttons for telephones/controls</t>
  </si>
  <si>
    <t>L.1.4</t>
  </si>
  <si>
    <t>Emergency pull-cord/buttons</t>
  </si>
  <si>
    <t>L.1.5</t>
  </si>
  <si>
    <t>Height or postion adjustable bed</t>
  </si>
  <si>
    <t>L.1.6</t>
  </si>
  <si>
    <t>Visual doorbells with vibration/light indicators</t>
  </si>
  <si>
    <t>L.2</t>
  </si>
  <si>
    <t>Family-sized Rooms and Facilities</t>
  </si>
  <si>
    <t>L.2.1</t>
  </si>
  <si>
    <t>Number of family-sized rooms provided (Occupancy of 4 and above)</t>
  </si>
  <si>
    <t>- Up to 1% of rooms</t>
  </si>
  <si>
    <t>- More than 1% of rooms (provided there is more than 1 room)</t>
  </si>
  <si>
    <t>L.2.2</t>
  </si>
  <si>
    <t>Provision of connecting rooms</t>
  </si>
  <si>
    <t>Part 3 - DESIGN PROCESS</t>
  </si>
  <si>
    <t>M</t>
  </si>
  <si>
    <t>Project Development and Process</t>
  </si>
  <si>
    <t>M.1</t>
  </si>
  <si>
    <t>Project Development</t>
  </si>
  <si>
    <t>M.1.1</t>
  </si>
  <si>
    <t>Consultancy team (architectural or engineering) comprises a BCA certified UD Assessor</t>
  </si>
  <si>
    <t>M.1.2</t>
  </si>
  <si>
    <t>Full name of UD Assessor from consultancy team</t>
  </si>
  <si>
    <t>Builder/Contractor team comprises a BCA certified UD Assessor</t>
  </si>
  <si>
    <t>Full name of UD Assessor from builder/contractor team</t>
  </si>
  <si>
    <t>M.1.3</t>
  </si>
  <si>
    <t>M.1.4</t>
  </si>
  <si>
    <t>Full name of UD Assessor from developer team</t>
  </si>
  <si>
    <t>M.1.5</t>
  </si>
  <si>
    <t>M.1.6</t>
  </si>
  <si>
    <t>M.1.7</t>
  </si>
  <si>
    <t>M.2</t>
  </si>
  <si>
    <t>Innovative User-friendly Design Features</t>
  </si>
  <si>
    <t>QP can input any other user-centric approach or design features which are not in the checklist. Points will not be awarded, but may be considered as part of awards assessment.</t>
  </si>
  <si>
    <t>M.2.1</t>
  </si>
  <si>
    <t>M.2.2</t>
  </si>
  <si>
    <t>M.2.3</t>
  </si>
  <si>
    <t>M.2.4</t>
  </si>
  <si>
    <t>M.2.5</t>
  </si>
  <si>
    <t>persons with disability</t>
  </si>
  <si>
    <t>elderly</t>
  </si>
  <si>
    <t>families with young children</t>
  </si>
  <si>
    <t>nursing/expectant mothers</t>
  </si>
  <si>
    <t>AB</t>
  </si>
  <si>
    <t>persons with disability &amp; elderly</t>
  </si>
  <si>
    <t>AC</t>
  </si>
  <si>
    <t>persons with disability &amp; families with young children</t>
  </si>
  <si>
    <t>AD</t>
  </si>
  <si>
    <t>persons with disability &amp; nursing/expectant mothers</t>
  </si>
  <si>
    <t>ABC</t>
  </si>
  <si>
    <t>persons with disability, elderly &amp; families with young children</t>
  </si>
  <si>
    <t>Code on Accessibility in the Built Environment 2025</t>
  </si>
  <si>
    <t>ABD</t>
  </si>
  <si>
    <t>persons with disability, elderly &amp; nursing/expectant mothers</t>
  </si>
  <si>
    <t>Code on Accessibility in the Built Environment 2019</t>
  </si>
  <si>
    <t>ACD</t>
  </si>
  <si>
    <t>persons with disability, families with young children &amp; nursing/expectant mothers</t>
  </si>
  <si>
    <t>Code on Accessibility in the Built Environment 2013</t>
  </si>
  <si>
    <t>BC</t>
  </si>
  <si>
    <t>elderly &amp; families with young children</t>
  </si>
  <si>
    <t>BD</t>
  </si>
  <si>
    <t>elderly &amp; nursing/expectant mothers</t>
  </si>
  <si>
    <t>BCD</t>
  </si>
  <si>
    <t>elderly, families with young children &amp; nursing/expectant mothers</t>
  </si>
  <si>
    <t>Entire building/block</t>
  </si>
  <si>
    <t>CD</t>
  </si>
  <si>
    <t>families with young children &amp; nursing/expectant mothers</t>
  </si>
  <si>
    <t>Entire development (where there are multiple blocks)</t>
  </si>
  <si>
    <t>ABCD</t>
  </si>
  <si>
    <t>persons with disability, elderly, families with young children &amp; nursing/expectant mothers</t>
  </si>
  <si>
    <t>Only where A&amp;A works are carried out</t>
  </si>
  <si>
    <t>some user groups</t>
  </si>
  <si>
    <t>Aggregate of User-friendly Levels</t>
  </si>
  <si>
    <t>UDindex</t>
  </si>
  <si>
    <t>Excellent Universal Design Provisions 
- Caters well to all identified user groups</t>
  </si>
  <si>
    <t>persons with disabilities</t>
  </si>
  <si>
    <t xml:space="preserve">Basic Universal Design Provisions </t>
  </si>
  <si>
    <t>nursing / expectant mothers</t>
  </si>
  <si>
    <t>Complying with minimum standards 
specified in the Code on Accessibility</t>
  </si>
  <si>
    <t>PwD</t>
  </si>
  <si>
    <t>Family</t>
  </si>
  <si>
    <t>Mother</t>
  </si>
  <si>
    <t>Error</t>
  </si>
  <si>
    <t>Yes</t>
  </si>
  <si>
    <t>Yes, we agree to the publishing of selected information for the public.</t>
  </si>
  <si>
    <t>No, we would like to opt out of the publishing of information for the public.</t>
  </si>
  <si>
    <t>PWD</t>
  </si>
  <si>
    <t>Code</t>
  </si>
  <si>
    <t>FormSG Ref</t>
  </si>
  <si>
    <t>FormVer</t>
  </si>
  <si>
    <t>Total GFA (m2)</t>
  </si>
  <si>
    <t>UDi</t>
  </si>
  <si>
    <t>UD Rating</t>
  </si>
  <si>
    <t>Nov25a</t>
  </si>
  <si>
    <r>
      <t xml:space="preserve">Space(s) for baby carriage within </t>
    </r>
    <r>
      <rPr>
        <sz val="11"/>
        <color theme="1"/>
        <rFont val="Calibri"/>
        <family val="2"/>
        <scheme val="minor"/>
      </rPr>
      <t>lactation room</t>
    </r>
  </si>
  <si>
    <t>sloped entrance into unit</t>
  </si>
  <si>
    <t>Project team engages and incorporates feedback from user experts such as representatives from Social Service Agencies, access consultants  and/or experts etc.</t>
  </si>
  <si>
    <t>Full name of  representatives from user experts</t>
  </si>
  <si>
    <t>Input description of feedback that was provided and incorporated from user experts</t>
  </si>
  <si>
    <t>Developer team comprises a BCA certified UD Assessor</t>
  </si>
  <si>
    <t>UD Assessor Certificate Number
(bottom-left corner of certificate)</t>
  </si>
  <si>
    <t>All ramps comply with Code requirements; or there are no ramps in the building</t>
  </si>
  <si>
    <t>All staircases comply with Code requirements, including provision of warning TGSI, handrail extensions etc; or there are no stairs in the building</t>
  </si>
  <si>
    <t>- Beyond Code compliance, up to 3% of rooms</t>
  </si>
  <si>
    <t>- Beyond Code compliance, up to 5% of rooms</t>
  </si>
  <si>
    <t>A.1.4</t>
  </si>
  <si>
    <t>A.1.5</t>
  </si>
  <si>
    <t>K.1.6</t>
  </si>
  <si>
    <t>M.1.8</t>
  </si>
  <si>
    <t>M.1.9</t>
  </si>
  <si>
    <t>M.1.10</t>
  </si>
  <si>
    <t>M.1.11</t>
  </si>
  <si>
    <t>M.1.12</t>
  </si>
  <si>
    <t>wheelchair space (&gt;1.2m) in front of kitchen cabinetry and table top</t>
  </si>
  <si>
    <t>casement windows with horizontal handles below the crescent locks</t>
  </si>
  <si>
    <t>Designated family individual washroom fitted with adult and child-friendly sanitary facilities (WC, child-sized WC, wash basin, child protection seat, diaper changing station, bin)</t>
  </si>
  <si>
    <t>Number of family individual washroom(s) required by Code</t>
  </si>
  <si>
    <t>Number of family individual washroom(s) provided</t>
  </si>
  <si>
    <t>Accessible Changing Rooms 
(Accessible individual washroom with an adult-sized changing bed for caregivers to change the diapers of  adult PwDs)</t>
  </si>
  <si>
    <t>Accessible Vehicle Parking Lots</t>
  </si>
  <si>
    <t>Number of accessible vehicle parking lots provided</t>
  </si>
  <si>
    <t>Family Car Parking Lots</t>
  </si>
  <si>
    <t>Number of family car parking lots provided</t>
  </si>
  <si>
    <t>Number of family car parking lots(s) with electric charging station(s)</t>
  </si>
  <si>
    <t>Nov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</si>
</sst>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24"/>
      <color theme="1"/>
      <name val="Calibri"/>
      <family val="2"/>
      <scheme val="minor"/>
    </font>
    <font>
      <b/>
      <sz val="18"/>
      <color theme="1"/>
      <name val="Calibri"/>
      <family val="2"/>
      <scheme val="minor"/>
    </font>
    <font>
      <b/>
      <vertAlign val="superscript"/>
      <sz val="11"/>
      <color theme="1"/>
      <name val="Calibri"/>
      <family val="2"/>
      <scheme val="minor"/>
    </font>
    <font>
      <b/>
      <sz val="9"/>
      <color theme="1"/>
      <name val="Calibri"/>
      <family val="2"/>
      <scheme val="minor"/>
    </font>
    <font>
      <b/>
      <sz val="11"/>
      <color rgb="FFFF0000"/>
      <name val="Calibri"/>
      <family val="2"/>
      <scheme val="minor"/>
    </font>
    <font>
      <b/>
      <sz val="14"/>
      <color theme="1"/>
      <name val="Calibri"/>
      <family val="2"/>
      <scheme val="minor"/>
    </font>
    <font>
      <b/>
      <sz val="8"/>
      <color theme="1"/>
      <name val="Calibri"/>
      <family val="2"/>
      <scheme val="minor"/>
    </font>
    <font>
      <sz val="8"/>
      <name val="Calibri"/>
      <family val="2"/>
      <scheme val="minor"/>
    </font>
    <font>
      <sz val="14"/>
      <color theme="1"/>
      <name val="Calibri"/>
      <family val="2"/>
      <scheme val="minor"/>
    </font>
    <font>
      <sz val="11"/>
      <name val="Calibri"/>
      <family val="2"/>
      <scheme val="minor"/>
    </font>
    <font>
      <b/>
      <sz val="16"/>
      <color theme="0"/>
      <name val="Calibri"/>
      <family val="2"/>
      <scheme val="minor"/>
    </font>
    <font>
      <sz val="10"/>
      <color theme="1"/>
      <name val="Calibri"/>
      <family val="2"/>
      <scheme val="minor"/>
    </font>
    <font>
      <sz val="11"/>
      <color rgb="FF0070C0"/>
      <name val="Calibri"/>
      <family val="2"/>
      <scheme val="minor"/>
    </font>
    <font>
      <b/>
      <sz val="11"/>
      <color rgb="FF0070C0"/>
      <name val="Calibri"/>
      <family val="2"/>
      <scheme val="minor"/>
    </font>
    <font>
      <sz val="11"/>
      <color rgb="FF9933FF"/>
      <name val="Calibri"/>
      <family val="2"/>
      <scheme val="minor"/>
    </font>
    <font>
      <b/>
      <sz val="11"/>
      <color rgb="FF9933FF"/>
      <name val="Calibri"/>
      <family val="2"/>
      <scheme val="minor"/>
    </font>
    <font>
      <sz val="11"/>
      <color rgb="FFF09253"/>
      <name val="Calibri"/>
      <family val="2"/>
      <scheme val="minor"/>
    </font>
    <font>
      <b/>
      <sz val="11"/>
      <color rgb="FFF09253"/>
      <name val="Calibri"/>
      <family val="2"/>
      <scheme val="minor"/>
    </font>
    <font>
      <sz val="11"/>
      <color rgb="FFC91E68"/>
      <name val="Calibri"/>
      <family val="2"/>
      <scheme val="minor"/>
    </font>
    <font>
      <b/>
      <sz val="11"/>
      <color rgb="FFC91E68"/>
      <name val="Calibri"/>
      <family val="2"/>
      <scheme val="minor"/>
    </font>
    <font>
      <sz val="9"/>
      <color theme="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E7F66"/>
        <bgColor indexed="64"/>
      </patternFill>
    </fill>
    <fill>
      <patternFill patternType="solid">
        <fgColor theme="0"/>
        <bgColor indexed="64"/>
      </patternFill>
    </fill>
    <fill>
      <patternFill patternType="solid">
        <fgColor theme="7"/>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
    <xf numFmtId="0" fontId="0" fillId="0" borderId="0"/>
  </cellStyleXfs>
  <cellXfs count="151">
    <xf numFmtId="0" fontId="0" fillId="0" borderId="0" xfId="0"/>
    <xf numFmtId="0" fontId="0" fillId="0" borderId="0" xfId="0" applyAlignment="1">
      <alignment wrapText="1"/>
    </xf>
    <xf numFmtId="0" fontId="3" fillId="0" borderId="0" xfId="0" applyFont="1"/>
    <xf numFmtId="0" fontId="4" fillId="0" borderId="0" xfId="0" applyFont="1"/>
    <xf numFmtId="0" fontId="0" fillId="0" borderId="1" xfId="0" applyBorder="1" applyAlignment="1">
      <alignment horizontal="left"/>
    </xf>
    <xf numFmtId="0" fontId="1" fillId="0" borderId="1" xfId="0" applyFont="1" applyBorder="1" applyAlignment="1">
      <alignment wrapText="1"/>
    </xf>
    <xf numFmtId="0" fontId="0" fillId="0" borderId="1" xfId="0" applyBorder="1" applyAlignment="1">
      <alignment vertical="center"/>
    </xf>
    <xf numFmtId="0" fontId="0" fillId="0" borderId="1" xfId="0" applyBorder="1"/>
    <xf numFmtId="0" fontId="0" fillId="0" borderId="1" xfId="0" applyBorder="1" applyAlignment="1">
      <alignment wrapText="1"/>
    </xf>
    <xf numFmtId="4" fontId="0" fillId="2" borderId="1" xfId="0" applyNumberFormat="1" applyFill="1" applyBorder="1" applyAlignment="1">
      <alignment vertical="center"/>
    </xf>
    <xf numFmtId="3" fontId="0" fillId="2" borderId="1" xfId="0" applyNumberFormat="1" applyFill="1" applyBorder="1" applyAlignment="1">
      <alignment vertical="center"/>
    </xf>
    <xf numFmtId="4" fontId="0" fillId="0" borderId="1" xfId="0" applyNumberFormat="1" applyBorder="1" applyAlignment="1">
      <alignment vertical="center"/>
    </xf>
    <xf numFmtId="3" fontId="0" fillId="0" borderId="1" xfId="0" applyNumberFormat="1" applyBorder="1" applyAlignment="1">
      <alignment vertical="center"/>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0" xfId="0" applyFont="1"/>
    <xf numFmtId="0" fontId="0" fillId="0" borderId="2" xfId="0" applyBorder="1" applyAlignment="1">
      <alignment horizontal="left" vertical="top"/>
    </xf>
    <xf numFmtId="0" fontId="9"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8" fillId="4" borderId="3" xfId="0" applyFont="1" applyFill="1"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xf>
    <xf numFmtId="0" fontId="7" fillId="0" borderId="9" xfId="0" quotePrefix="1" applyFont="1" applyBorder="1" applyAlignment="1">
      <alignment wrapText="1"/>
    </xf>
    <xf numFmtId="0" fontId="9" fillId="0" borderId="12" xfId="0" applyFont="1" applyBorder="1" applyAlignment="1">
      <alignment horizontal="left" vertical="center"/>
    </xf>
    <xf numFmtId="0" fontId="0" fillId="0" borderId="0" xfId="0" applyAlignment="1">
      <alignment vertical="top"/>
    </xf>
    <xf numFmtId="0" fontId="0" fillId="0" borderId="14" xfId="0" applyBorder="1" applyAlignment="1">
      <alignment horizontal="left" vertical="top"/>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9" xfId="0" applyBorder="1" applyAlignment="1">
      <alignment wrapText="1"/>
    </xf>
    <xf numFmtId="0" fontId="0" fillId="0" borderId="9" xfId="0" quotePrefix="1" applyBorder="1" applyAlignment="1">
      <alignment wrapText="1"/>
    </xf>
    <xf numFmtId="0" fontId="1" fillId="0" borderId="2" xfId="0" applyFont="1" applyBorder="1" applyAlignment="1">
      <alignment vertical="top"/>
    </xf>
    <xf numFmtId="0" fontId="0" fillId="0" borderId="2" xfId="0" applyBorder="1" applyAlignment="1">
      <alignment vertical="top"/>
    </xf>
    <xf numFmtId="0" fontId="8" fillId="0" borderId="2" xfId="0" applyFont="1" applyBorder="1" applyAlignment="1">
      <alignment vertical="top"/>
    </xf>
    <xf numFmtId="0" fontId="8" fillId="4" borderId="9" xfId="0" applyFont="1" applyFill="1" applyBorder="1"/>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3" fontId="0" fillId="0" borderId="1" xfId="0" applyNumberFormat="1" applyBorder="1" applyAlignment="1">
      <alignment horizontal="center" vertical="center"/>
    </xf>
    <xf numFmtId="9" fontId="0" fillId="2" borderId="1" xfId="0" applyNumberFormat="1" applyFill="1" applyBorder="1" applyAlignment="1">
      <alignment horizontal="center" vertical="center"/>
    </xf>
    <xf numFmtId="0" fontId="0" fillId="0" borderId="9" xfId="0" applyBorder="1" applyAlignment="1">
      <alignment horizontal="left" vertical="top" wrapText="1"/>
    </xf>
    <xf numFmtId="0" fontId="0" fillId="0" borderId="9" xfId="0" quotePrefix="1" applyBorder="1" applyAlignment="1">
      <alignment horizontal="left" vertical="top" wrapText="1"/>
    </xf>
    <xf numFmtId="0" fontId="7" fillId="0" borderId="9" xfId="0" applyFont="1" applyBorder="1" applyAlignment="1">
      <alignment horizontal="left" vertical="top"/>
    </xf>
    <xf numFmtId="0" fontId="8" fillId="4" borderId="2" xfId="0" applyFont="1" applyFill="1" applyBorder="1" applyAlignment="1">
      <alignment horizontal="left" vertical="top"/>
    </xf>
    <xf numFmtId="0" fontId="8" fillId="4" borderId="9" xfId="0" applyFont="1" applyFill="1" applyBorder="1" applyAlignment="1">
      <alignment horizontal="left" vertical="top"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8" fillId="4" borderId="9" xfId="0" applyFont="1" applyFill="1" applyBorder="1" applyAlignment="1">
      <alignment horizontal="left" vertical="top"/>
    </xf>
    <xf numFmtId="0" fontId="8" fillId="0" borderId="2" xfId="0" applyFont="1" applyBorder="1" applyAlignment="1">
      <alignment horizontal="left" vertical="top"/>
    </xf>
    <xf numFmtId="0" fontId="1" fillId="0" borderId="9" xfId="0" applyFont="1" applyBorder="1" applyAlignment="1">
      <alignment wrapText="1"/>
    </xf>
    <xf numFmtId="0" fontId="7" fillId="0" borderId="9" xfId="0" applyFont="1" applyBorder="1"/>
    <xf numFmtId="0" fontId="9" fillId="0" borderId="1" xfId="0" applyFont="1" applyBorder="1" applyAlignment="1">
      <alignment horizontal="center" vertical="center" wrapText="1"/>
    </xf>
    <xf numFmtId="0" fontId="8" fillId="4" borderId="9" xfId="0" applyFont="1" applyFill="1" applyBorder="1" applyAlignment="1">
      <alignment wrapText="1"/>
    </xf>
    <xf numFmtId="0" fontId="8" fillId="4" borderId="1" xfId="0" applyFont="1" applyFill="1" applyBorder="1" applyAlignment="1">
      <alignment horizontal="center" vertical="center"/>
    </xf>
    <xf numFmtId="0" fontId="1" fillId="0" borderId="2" xfId="0" applyFont="1" applyBorder="1" applyAlignment="1">
      <alignment horizontal="left" vertical="top"/>
    </xf>
    <xf numFmtId="0" fontId="1" fillId="0" borderId="9" xfId="0" applyFont="1" applyBorder="1" applyAlignment="1">
      <alignment horizontal="left" vertical="top" wrapText="1"/>
    </xf>
    <xf numFmtId="0" fontId="0" fillId="0" borderId="0" xfId="0" applyAlignment="1">
      <alignment horizontal="left" vertical="center"/>
    </xf>
    <xf numFmtId="0" fontId="12" fillId="0" borderId="0" xfId="0" applyFont="1"/>
    <xf numFmtId="0" fontId="0" fillId="0" borderId="0" xfId="0" applyAlignment="1">
      <alignment horizontal="right"/>
    </xf>
    <xf numFmtId="0" fontId="0" fillId="0" borderId="8" xfId="0" applyBorder="1" applyAlignment="1">
      <alignment horizontal="center" vertical="center"/>
    </xf>
    <xf numFmtId="0" fontId="8" fillId="0" borderId="0" xfId="0" applyFont="1" applyAlignment="1">
      <alignment horizontal="left" vertical="center"/>
    </xf>
    <xf numFmtId="0" fontId="0" fillId="0" borderId="16" xfId="0" applyBorder="1"/>
    <xf numFmtId="0" fontId="0" fillId="0" borderId="18" xfId="0" applyBorder="1"/>
    <xf numFmtId="0" fontId="1" fillId="3" borderId="15" xfId="0" applyFont="1" applyFill="1" applyBorder="1"/>
    <xf numFmtId="0" fontId="0" fillId="0" borderId="15" xfId="0" applyBorder="1"/>
    <xf numFmtId="0" fontId="0" fillId="0" borderId="7" xfId="0" quotePrefix="1" applyBorder="1" applyAlignment="1">
      <alignment horizontal="center"/>
    </xf>
    <xf numFmtId="0" fontId="0" fillId="0" borderId="0" xfId="0" applyAlignment="1">
      <alignment horizontal="center"/>
    </xf>
    <xf numFmtId="0" fontId="1" fillId="3" borderId="22" xfId="0" applyFont="1" applyFill="1" applyBorder="1"/>
    <xf numFmtId="0" fontId="0" fillId="3" borderId="26" xfId="0" applyFill="1" applyBorder="1" applyAlignment="1">
      <alignment horizontal="center"/>
    </xf>
    <xf numFmtId="0" fontId="0" fillId="3" borderId="27" xfId="0" applyFill="1" applyBorder="1" applyAlignment="1">
      <alignment horizontal="center"/>
    </xf>
    <xf numFmtId="0" fontId="1" fillId="4" borderId="0" xfId="0" applyFont="1" applyFill="1" applyAlignment="1">
      <alignment horizontal="center" vertical="center"/>
    </xf>
    <xf numFmtId="0" fontId="0" fillId="0" borderId="30" xfId="0" applyBorder="1"/>
    <xf numFmtId="0" fontId="0" fillId="0" borderId="30" xfId="0" applyBorder="1" applyAlignment="1">
      <alignment horizontal="center" vertical="center"/>
    </xf>
    <xf numFmtId="0" fontId="16" fillId="0" borderId="16" xfId="0" applyFont="1" applyBorder="1"/>
    <xf numFmtId="0" fontId="15" fillId="0" borderId="1" xfId="0" applyFont="1" applyBorder="1" applyAlignment="1">
      <alignment horizontal="center" vertical="center"/>
    </xf>
    <xf numFmtId="0" fontId="15" fillId="0" borderId="17"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8" fillId="0" borderId="16" xfId="0" applyFont="1" applyBorder="1"/>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20" fillId="0" borderId="16" xfId="0" applyFont="1" applyBorder="1"/>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2" fillId="0" borderId="16" xfId="0" applyFont="1" applyBorder="1"/>
    <xf numFmtId="0" fontId="1" fillId="0" borderId="18" xfId="0" applyFont="1" applyBorder="1"/>
    <xf numFmtId="0" fontId="0" fillId="0" borderId="15" xfId="0" applyBorder="1" applyAlignment="1">
      <alignment vertical="top"/>
    </xf>
    <xf numFmtId="0" fontId="0" fillId="0" borderId="16" xfId="0" applyBorder="1" applyAlignment="1">
      <alignment vertical="top"/>
    </xf>
    <xf numFmtId="0" fontId="0" fillId="0" borderId="16" xfId="0" applyBorder="1" applyAlignment="1">
      <alignment vertical="top" wrapText="1"/>
    </xf>
    <xf numFmtId="0" fontId="0" fillId="0" borderId="18" xfId="0" applyBorder="1" applyAlignment="1">
      <alignment vertical="top"/>
    </xf>
    <xf numFmtId="0" fontId="0" fillId="0" borderId="31" xfId="0" applyBorder="1"/>
    <xf numFmtId="0" fontId="1" fillId="0" borderId="7" xfId="0" quotePrefix="1" applyFont="1" applyBorder="1" applyAlignment="1">
      <alignment horizontal="center"/>
    </xf>
    <xf numFmtId="0" fontId="1" fillId="0" borderId="8" xfId="0" applyFont="1" applyBorder="1" applyAlignment="1">
      <alignment horizontal="center" vertical="center"/>
    </xf>
    <xf numFmtId="9" fontId="0" fillId="0" borderId="0" xfId="0" applyNumberFormat="1"/>
    <xf numFmtId="4" fontId="0" fillId="0" borderId="0" xfId="0" applyNumberFormat="1"/>
    <xf numFmtId="3" fontId="0" fillId="0" borderId="0" xfId="0" applyNumberFormat="1"/>
    <xf numFmtId="0" fontId="0" fillId="7" borderId="0" xfId="0" applyFill="1"/>
    <xf numFmtId="0" fontId="1" fillId="0" borderId="9" xfId="0" quotePrefix="1" applyFont="1" applyBorder="1" applyAlignment="1">
      <alignment horizontal="left" vertical="top" wrapText="1"/>
    </xf>
    <xf numFmtId="17" fontId="23" fillId="0" borderId="0" xfId="0" quotePrefix="1" applyNumberFormat="1" applyFont="1" applyAlignment="1">
      <alignment horizontal="right"/>
    </xf>
    <xf numFmtId="0" fontId="13" fillId="5" borderId="22"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3" borderId="5" xfId="0" applyFont="1" applyFill="1" applyBorder="1" applyAlignment="1">
      <alignment horizontal="center"/>
    </xf>
    <xf numFmtId="0" fontId="1" fillId="3" borderId="6" xfId="0" applyFont="1" applyFill="1" applyBorder="1" applyAlignment="1">
      <alignment horizontal="center"/>
    </xf>
    <xf numFmtId="0" fontId="3" fillId="6" borderId="20" xfId="0" applyFont="1" applyFill="1" applyBorder="1" applyAlignment="1">
      <alignment horizontal="center" vertical="center"/>
    </xf>
    <xf numFmtId="0" fontId="0" fillId="0" borderId="21" xfId="0" applyBorder="1" applyAlignment="1">
      <alignment horizontal="center" vertical="center"/>
    </xf>
    <xf numFmtId="0" fontId="0" fillId="2" borderId="5" xfId="0" applyFill="1" applyBorder="1" applyAlignment="1">
      <alignment horizontal="center"/>
    </xf>
    <xf numFmtId="0" fontId="0" fillId="2" borderId="6" xfId="0" applyFill="1" applyBorder="1" applyAlignment="1">
      <alignment horizontal="center"/>
    </xf>
    <xf numFmtId="0" fontId="23" fillId="2" borderId="1" xfId="0" applyFont="1" applyFill="1" applyBorder="1" applyAlignment="1">
      <alignment horizontal="left" vertical="top" wrapText="1"/>
    </xf>
    <xf numFmtId="0" fontId="23" fillId="2" borderId="17" xfId="0" applyFont="1" applyFill="1" applyBorder="1" applyAlignment="1">
      <alignment horizontal="left" vertical="top" wrapText="1"/>
    </xf>
    <xf numFmtId="0" fontId="0" fillId="2" borderId="1" xfId="0" applyFill="1" applyBorder="1" applyAlignment="1">
      <alignment horizontal="left" vertical="top"/>
    </xf>
    <xf numFmtId="0" fontId="0" fillId="2" borderId="17" xfId="0" applyFill="1" applyBorder="1" applyAlignment="1">
      <alignment horizontal="left" vertical="top"/>
    </xf>
    <xf numFmtId="0" fontId="0" fillId="2" borderId="1" xfId="0" applyFill="1" applyBorder="1" applyAlignment="1">
      <alignment horizontal="center" vertical="top"/>
    </xf>
    <xf numFmtId="0" fontId="0" fillId="2" borderId="17" xfId="0" applyFill="1" applyBorder="1" applyAlignment="1">
      <alignment horizontal="center" vertical="top"/>
    </xf>
    <xf numFmtId="0" fontId="0" fillId="2" borderId="1" xfId="0" applyFill="1" applyBorder="1" applyAlignment="1">
      <alignment horizontal="center" vertical="center"/>
    </xf>
    <xf numFmtId="0" fontId="0" fillId="2" borderId="17" xfId="0" applyFill="1" applyBorder="1" applyAlignment="1">
      <alignment horizontal="center" vertical="center"/>
    </xf>
    <xf numFmtId="0" fontId="0" fillId="2" borderId="7" xfId="0" applyFill="1" applyBorder="1" applyAlignment="1">
      <alignment horizontal="center"/>
    </xf>
    <xf numFmtId="0" fontId="0" fillId="2" borderId="8" xfId="0" applyFill="1" applyBorder="1" applyAlignment="1">
      <alignment horizontal="center"/>
    </xf>
    <xf numFmtId="0" fontId="14" fillId="0" borderId="28" xfId="0" applyFont="1" applyBorder="1" applyAlignment="1">
      <alignment horizontal="left" vertical="top" wrapText="1"/>
    </xf>
    <xf numFmtId="0" fontId="14" fillId="0" borderId="24" xfId="0" applyFont="1" applyBorder="1" applyAlignment="1">
      <alignment horizontal="left" vertical="top" wrapText="1"/>
    </xf>
    <xf numFmtId="0" fontId="14" fillId="0" borderId="29" xfId="0" applyFont="1" applyBorder="1" applyAlignment="1">
      <alignment horizontal="left" vertical="top" wrapText="1"/>
    </xf>
    <xf numFmtId="4" fontId="0" fillId="0" borderId="1" xfId="0" applyNumberFormat="1" applyBorder="1" applyAlignment="1">
      <alignment horizontal="center"/>
    </xf>
    <xf numFmtId="0" fontId="0" fillId="0" borderId="17" xfId="0" applyBorder="1" applyAlignment="1">
      <alignment horizontal="center"/>
    </xf>
    <xf numFmtId="0" fontId="0" fillId="2" borderId="1" xfId="0" applyFill="1" applyBorder="1" applyAlignment="1">
      <alignment horizontal="center"/>
    </xf>
    <xf numFmtId="0" fontId="0" fillId="2" borderId="17" xfId="0" applyFill="1" applyBorder="1" applyAlignment="1">
      <alignment horizontal="center"/>
    </xf>
    <xf numFmtId="0" fontId="0" fillId="2" borderId="25" xfId="0" quotePrefix="1" applyFill="1" applyBorder="1" applyAlignment="1">
      <alignment horizontal="left" vertical="top" wrapText="1"/>
    </xf>
    <xf numFmtId="0" fontId="0" fillId="2" borderId="24" xfId="0" quotePrefix="1" applyFill="1" applyBorder="1" applyAlignment="1">
      <alignment horizontal="left" vertical="top" wrapText="1"/>
    </xf>
    <xf numFmtId="0" fontId="0" fillId="2" borderId="9" xfId="0" quotePrefix="1" applyFill="1" applyBorder="1" applyAlignment="1">
      <alignment horizontal="left" vertical="top" wrapText="1"/>
    </xf>
    <xf numFmtId="0" fontId="0" fillId="2" borderId="23" xfId="0" applyFill="1" applyBorder="1" applyAlignment="1">
      <alignment horizontal="left" vertical="center"/>
    </xf>
    <xf numFmtId="0" fontId="0" fillId="2" borderId="24" xfId="0" applyFill="1" applyBorder="1" applyAlignment="1">
      <alignment horizontal="left" vertical="center"/>
    </xf>
    <xf numFmtId="0" fontId="0" fillId="2" borderId="9" xfId="0" applyFill="1" applyBorder="1" applyAlignment="1">
      <alignment horizontal="left" vertical="center"/>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9" xfId="0" applyFill="1" applyBorder="1" applyAlignment="1">
      <alignment horizontal="left" vertical="top" wrapText="1"/>
    </xf>
    <xf numFmtId="0" fontId="0" fillId="0" borderId="25" xfId="0" applyBorder="1" applyAlignment="1">
      <alignment horizontal="left" vertical="top" wrapText="1"/>
    </xf>
    <xf numFmtId="0" fontId="0" fillId="0" borderId="24" xfId="0" applyBorder="1" applyAlignment="1">
      <alignment horizontal="left" vertical="top" wrapText="1"/>
    </xf>
    <xf numFmtId="0" fontId="0" fillId="0" borderId="9" xfId="0" applyBorder="1" applyAlignment="1">
      <alignment horizontal="left" vertical="top" wrapText="1"/>
    </xf>
    <xf numFmtId="0" fontId="0" fillId="0" borderId="24" xfId="0" applyBorder="1" applyAlignment="1">
      <alignment horizontal="left" vertical="center"/>
    </xf>
    <xf numFmtId="0" fontId="0" fillId="0" borderId="9" xfId="0" applyBorder="1" applyAlignment="1">
      <alignment horizontal="left" vertical="center"/>
    </xf>
  </cellXfs>
  <cellStyles count="1">
    <cellStyle name="Normal" xfId="0" builtinId="0"/>
  </cellStyles>
  <dxfs count="22">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
      <fill>
        <patternFill>
          <bgColor theme="9" tint="0.79998168889431442"/>
        </patternFill>
      </fill>
    </dxf>
    <dxf>
      <fill>
        <patternFill patternType="lightUp">
          <fgColor theme="2" tint="-0.24994659260841701"/>
          <bgColor theme="0" tint="-4.9989318521683403E-2"/>
        </patternFill>
      </fill>
    </dxf>
  </dxfs>
  <tableStyles count="0" defaultTableStyle="TableStyleMedium2" defaultPivotStyle="PivotStyleLight16"/>
  <colors>
    <mruColors>
      <color rgb="FFFF66FF"/>
      <color rgb="FFC91E68"/>
      <color rgb="FFF09253"/>
      <color rgb="FF9933FF"/>
      <color rgb="FF0070C0"/>
      <color rgb="FFFE7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jpeg"/><Relationship Id="rId18" Type="http://schemas.openxmlformats.org/officeDocument/2006/relationships/image" Target="../media/image2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jpeg"/><Relationship Id="rId17" Type="http://schemas.openxmlformats.org/officeDocument/2006/relationships/image" Target="../media/image20.jpeg"/><Relationship Id="rId2" Type="http://schemas.openxmlformats.org/officeDocument/2006/relationships/image" Target="../media/image5.jpeg"/><Relationship Id="rId16" Type="http://schemas.openxmlformats.org/officeDocument/2006/relationships/image" Target="../media/image19.emf"/><Relationship Id="rId1" Type="http://schemas.openxmlformats.org/officeDocument/2006/relationships/image" Target="../media/image4.emf"/><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5" Type="http://schemas.openxmlformats.org/officeDocument/2006/relationships/image" Target="../media/image18.emf"/><Relationship Id="rId10" Type="http://schemas.openxmlformats.org/officeDocument/2006/relationships/image" Target="../media/image13.jpeg"/><Relationship Id="rId19" Type="http://schemas.openxmlformats.org/officeDocument/2006/relationships/image" Target="../media/image22.emf"/><Relationship Id="rId4" Type="http://schemas.openxmlformats.org/officeDocument/2006/relationships/image" Target="../media/image7.jpeg"/><Relationship Id="rId9" Type="http://schemas.openxmlformats.org/officeDocument/2006/relationships/image" Target="../media/image12.jpeg"/><Relationship Id="rId14" Type="http://schemas.openxmlformats.org/officeDocument/2006/relationships/image" Target="../media/image17.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25.emf"/><Relationship Id="rId2" Type="http://schemas.openxmlformats.org/officeDocument/2006/relationships/image" Target="../media/image24.emf"/><Relationship Id="rId1" Type="http://schemas.openxmlformats.org/officeDocument/2006/relationships/image" Target="../media/image23.emf"/><Relationship Id="rId5" Type="http://schemas.openxmlformats.org/officeDocument/2006/relationships/image" Target="../media/image27.emf"/><Relationship Id="rId4" Type="http://schemas.openxmlformats.org/officeDocument/2006/relationships/image" Target="../media/image26.emf"/></Relationships>
</file>

<file path=xl/drawings/drawing1.xml><?xml version="1.0" encoding="utf-8"?>
<xdr:wsDr xmlns:xdr="http://schemas.openxmlformats.org/drawingml/2006/spreadsheetDrawing" xmlns:a="http://schemas.openxmlformats.org/drawingml/2006/main">
  <xdr:twoCellAnchor>
    <xdr:from>
      <xdr:col>2</xdr:col>
      <xdr:colOff>820615</xdr:colOff>
      <xdr:row>0</xdr:row>
      <xdr:rowOff>113100</xdr:rowOff>
    </xdr:from>
    <xdr:to>
      <xdr:col>3</xdr:col>
      <xdr:colOff>50176</xdr:colOff>
      <xdr:row>2</xdr:row>
      <xdr:rowOff>124557</xdr:rowOff>
    </xdr:to>
    <xdr:grpSp>
      <xdr:nvGrpSpPr>
        <xdr:cNvPr id="2" name="Group 1">
          <a:extLst>
            <a:ext uri="{FF2B5EF4-FFF2-40B4-BE49-F238E27FC236}">
              <a16:creationId xmlns:a16="http://schemas.microsoft.com/office/drawing/2014/main" id="{A4D0FF9A-5552-4541-A29B-C02BC20060B1}"/>
            </a:ext>
          </a:extLst>
        </xdr:cNvPr>
        <xdr:cNvGrpSpPr/>
      </xdr:nvGrpSpPr>
      <xdr:grpSpPr>
        <a:xfrm>
          <a:off x="4811590" y="113100"/>
          <a:ext cx="1163136" cy="706782"/>
          <a:chOff x="0" y="0"/>
          <a:chExt cx="1495829" cy="875093"/>
        </a:xfrm>
      </xdr:grpSpPr>
      <xdr:sp macro="" textlink="">
        <xdr:nvSpPr>
          <xdr:cNvPr id="3" name="Moon 2">
            <a:extLst>
              <a:ext uri="{FF2B5EF4-FFF2-40B4-BE49-F238E27FC236}">
                <a16:creationId xmlns:a16="http://schemas.microsoft.com/office/drawing/2014/main" id="{CF19FA25-6C5F-4E02-B2C8-F3C4DA5F9B49}"/>
              </a:ext>
            </a:extLst>
          </xdr:cNvPr>
          <xdr:cNvSpPr/>
        </xdr:nvSpPr>
        <xdr:spPr>
          <a:xfrm rot="14968875">
            <a:off x="576728" y="-44009"/>
            <a:ext cx="350472" cy="1487731"/>
          </a:xfrm>
          <a:prstGeom prst="moon">
            <a:avLst>
              <a:gd name="adj" fmla="val 19255"/>
            </a:avLst>
          </a:prstGeom>
          <a:solidFill>
            <a:srgbClr val="FECC9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sp macro="" textlink="">
        <xdr:nvSpPr>
          <xdr:cNvPr id="4" name="Freeform: Shape 3">
            <a:extLst>
              <a:ext uri="{FF2B5EF4-FFF2-40B4-BE49-F238E27FC236}">
                <a16:creationId xmlns:a16="http://schemas.microsoft.com/office/drawing/2014/main" id="{74FCEE67-74BA-4120-A616-577AB9104364}"/>
              </a:ext>
            </a:extLst>
          </xdr:cNvPr>
          <xdr:cNvSpPr/>
        </xdr:nvSpPr>
        <xdr:spPr>
          <a:xfrm>
            <a:off x="0" y="85520"/>
            <a:ext cx="466772" cy="595018"/>
          </a:xfrm>
          <a:custGeom>
            <a:avLst/>
            <a:gdLst/>
            <a:ahLst/>
            <a:cxnLst/>
            <a:rect l="l" t="t" r="r" b="b"/>
            <a:pathLst>
              <a:path w="466772" h="595018">
                <a:moveTo>
                  <a:pt x="15911" y="0"/>
                </a:moveTo>
                <a:lnTo>
                  <a:pt x="95464" y="0"/>
                </a:lnTo>
                <a:cubicBezTo>
                  <a:pt x="100157" y="140"/>
                  <a:pt x="103961" y="1747"/>
                  <a:pt x="106874" y="4820"/>
                </a:cubicBezTo>
                <a:cubicBezTo>
                  <a:pt x="109788" y="7893"/>
                  <a:pt x="111288" y="11595"/>
                  <a:pt x="111376" y="15926"/>
                </a:cubicBezTo>
                <a:lnTo>
                  <a:pt x="111376" y="358750"/>
                </a:lnTo>
                <a:cubicBezTo>
                  <a:pt x="111882" y="395229"/>
                  <a:pt x="123028" y="425369"/>
                  <a:pt x="144813" y="449171"/>
                </a:cubicBezTo>
                <a:cubicBezTo>
                  <a:pt x="166598" y="472972"/>
                  <a:pt x="195983" y="485301"/>
                  <a:pt x="232967" y="486156"/>
                </a:cubicBezTo>
                <a:cubicBezTo>
                  <a:pt x="269985" y="485283"/>
                  <a:pt x="299510" y="472990"/>
                  <a:pt x="321539" y="449276"/>
                </a:cubicBezTo>
                <a:cubicBezTo>
                  <a:pt x="343569" y="425561"/>
                  <a:pt x="354855" y="395666"/>
                  <a:pt x="355396" y="359588"/>
                </a:cubicBezTo>
                <a:lnTo>
                  <a:pt x="355396" y="15926"/>
                </a:lnTo>
                <a:cubicBezTo>
                  <a:pt x="355484" y="11595"/>
                  <a:pt x="356984" y="7893"/>
                  <a:pt x="359897" y="4820"/>
                </a:cubicBezTo>
                <a:cubicBezTo>
                  <a:pt x="362811" y="1747"/>
                  <a:pt x="366614" y="140"/>
                  <a:pt x="371307" y="0"/>
                </a:cubicBezTo>
                <a:lnTo>
                  <a:pt x="450861" y="0"/>
                </a:lnTo>
                <a:cubicBezTo>
                  <a:pt x="455188" y="140"/>
                  <a:pt x="458886" y="1747"/>
                  <a:pt x="461957" y="4820"/>
                </a:cubicBezTo>
                <a:cubicBezTo>
                  <a:pt x="465028" y="7893"/>
                  <a:pt x="466633" y="11595"/>
                  <a:pt x="466772" y="15926"/>
                </a:cubicBezTo>
                <a:lnTo>
                  <a:pt x="466772" y="364617"/>
                </a:lnTo>
                <a:cubicBezTo>
                  <a:pt x="466339" y="407569"/>
                  <a:pt x="455947" y="446355"/>
                  <a:pt x="435596" y="480973"/>
                </a:cubicBezTo>
                <a:cubicBezTo>
                  <a:pt x="415244" y="515592"/>
                  <a:pt x="387533" y="543133"/>
                  <a:pt x="352462" y="563595"/>
                </a:cubicBezTo>
                <a:cubicBezTo>
                  <a:pt x="317391" y="584058"/>
                  <a:pt x="277559" y="594532"/>
                  <a:pt x="232967" y="595018"/>
                </a:cubicBezTo>
                <a:cubicBezTo>
                  <a:pt x="188648" y="594532"/>
                  <a:pt x="149013" y="584058"/>
                  <a:pt x="114061" y="563595"/>
                </a:cubicBezTo>
                <a:cubicBezTo>
                  <a:pt x="79109" y="543133"/>
                  <a:pt x="51470" y="515592"/>
                  <a:pt x="31145" y="480973"/>
                </a:cubicBezTo>
                <a:cubicBezTo>
                  <a:pt x="10820" y="446355"/>
                  <a:pt x="438" y="407569"/>
                  <a:pt x="0" y="364617"/>
                </a:cubicBezTo>
                <a:lnTo>
                  <a:pt x="0" y="15926"/>
                </a:lnTo>
                <a:cubicBezTo>
                  <a:pt x="139" y="11595"/>
                  <a:pt x="1744" y="7893"/>
                  <a:pt x="4815" y="4820"/>
                </a:cubicBezTo>
                <a:cubicBezTo>
                  <a:pt x="7885" y="1747"/>
                  <a:pt x="11584" y="140"/>
                  <a:pt x="15911" y="0"/>
                </a:cubicBez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5" name="Freeform: Shape 4">
            <a:extLst>
              <a:ext uri="{FF2B5EF4-FFF2-40B4-BE49-F238E27FC236}">
                <a16:creationId xmlns:a16="http://schemas.microsoft.com/office/drawing/2014/main" id="{07B9C5F6-2C01-4070-B392-2E40E766235C}"/>
              </a:ext>
            </a:extLst>
          </xdr:cNvPr>
          <xdr:cNvSpPr/>
        </xdr:nvSpPr>
        <xdr:spPr>
          <a:xfrm>
            <a:off x="531271" y="85520"/>
            <a:ext cx="507844" cy="586636"/>
          </a:xfrm>
          <a:custGeom>
            <a:avLst/>
            <a:gdLst/>
            <a:ahLst/>
            <a:cxnLst/>
            <a:rect l="l" t="t" r="r" b="b"/>
            <a:pathLst>
              <a:path w="507844" h="586636">
                <a:moveTo>
                  <a:pt x="15072" y="0"/>
                </a:moveTo>
                <a:lnTo>
                  <a:pt x="213674" y="0"/>
                </a:lnTo>
                <a:cubicBezTo>
                  <a:pt x="268253" y="630"/>
                  <a:pt x="317650" y="13982"/>
                  <a:pt x="361866" y="40055"/>
                </a:cubicBezTo>
                <a:cubicBezTo>
                  <a:pt x="406082" y="66129"/>
                  <a:pt x="441306" y="101145"/>
                  <a:pt x="467540" y="145105"/>
                </a:cubicBezTo>
                <a:cubicBezTo>
                  <a:pt x="493775" y="189065"/>
                  <a:pt x="507209" y="238190"/>
                  <a:pt x="507844" y="292479"/>
                </a:cubicBezTo>
                <a:cubicBezTo>
                  <a:pt x="507209" y="347317"/>
                  <a:pt x="493775" y="396835"/>
                  <a:pt x="467540" y="441033"/>
                </a:cubicBezTo>
                <a:cubicBezTo>
                  <a:pt x="441306" y="485232"/>
                  <a:pt x="406082" y="520393"/>
                  <a:pt x="361866" y="546519"/>
                </a:cubicBezTo>
                <a:cubicBezTo>
                  <a:pt x="317650" y="572644"/>
                  <a:pt x="268253" y="586016"/>
                  <a:pt x="213674" y="586636"/>
                </a:cubicBezTo>
                <a:lnTo>
                  <a:pt x="15072" y="586636"/>
                </a:lnTo>
                <a:cubicBezTo>
                  <a:pt x="10781" y="586496"/>
                  <a:pt x="7222" y="584891"/>
                  <a:pt x="4396" y="581821"/>
                </a:cubicBezTo>
                <a:cubicBezTo>
                  <a:pt x="1570" y="578751"/>
                  <a:pt x="104" y="575052"/>
                  <a:pt x="0" y="570726"/>
                </a:cubicBezTo>
                <a:lnTo>
                  <a:pt x="0" y="15910"/>
                </a:lnTo>
                <a:cubicBezTo>
                  <a:pt x="104" y="11584"/>
                  <a:pt x="1570" y="7886"/>
                  <a:pt x="4396" y="4815"/>
                </a:cubicBezTo>
                <a:cubicBezTo>
                  <a:pt x="7222" y="1745"/>
                  <a:pt x="10781" y="140"/>
                  <a:pt x="15072" y="0"/>
                </a:cubicBezTo>
                <a:close/>
                <a:moveTo>
                  <a:pt x="108023" y="101318"/>
                </a:moveTo>
                <a:lnTo>
                  <a:pt x="108023" y="484480"/>
                </a:lnTo>
                <a:lnTo>
                  <a:pt x="203612" y="484480"/>
                </a:lnTo>
                <a:cubicBezTo>
                  <a:pt x="259164" y="483345"/>
                  <a:pt x="304234" y="465074"/>
                  <a:pt x="338822" y="429668"/>
                </a:cubicBezTo>
                <a:cubicBezTo>
                  <a:pt x="373411" y="394261"/>
                  <a:pt x="391229" y="348532"/>
                  <a:pt x="392277" y="292479"/>
                </a:cubicBezTo>
                <a:cubicBezTo>
                  <a:pt x="391229" y="236829"/>
                  <a:pt x="373411" y="191344"/>
                  <a:pt x="338822" y="156025"/>
                </a:cubicBezTo>
                <a:cubicBezTo>
                  <a:pt x="304234" y="120706"/>
                  <a:pt x="259164" y="102471"/>
                  <a:pt x="203612" y="101318"/>
                </a:cubicBezTo>
                <a:lnTo>
                  <a:pt x="108023" y="101318"/>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nvGrpSpPr>
          <xdr:cNvPr id="6" name="Group 5">
            <a:extLst>
              <a:ext uri="{FF2B5EF4-FFF2-40B4-BE49-F238E27FC236}">
                <a16:creationId xmlns:a16="http://schemas.microsoft.com/office/drawing/2014/main" id="{37DB1398-F543-49F8-84A4-D6A0AEEF0D00}"/>
              </a:ext>
            </a:extLst>
          </xdr:cNvPr>
          <xdr:cNvGrpSpPr/>
        </xdr:nvGrpSpPr>
        <xdr:grpSpPr>
          <a:xfrm>
            <a:off x="1133597" y="364038"/>
            <a:ext cx="181399" cy="307777"/>
            <a:chOff x="1133597" y="364038"/>
            <a:chExt cx="181399" cy="307777"/>
          </a:xfrm>
        </xdr:grpSpPr>
        <xdr:sp macro="" textlink="">
          <xdr:nvSpPr>
            <xdr:cNvPr id="10" name="Freeform: Shape 9">
              <a:extLst>
                <a:ext uri="{FF2B5EF4-FFF2-40B4-BE49-F238E27FC236}">
                  <a16:creationId xmlns:a16="http://schemas.microsoft.com/office/drawing/2014/main" id="{5F979125-B8BE-4714-B776-355D8867D318}"/>
                </a:ext>
              </a:extLst>
            </xdr:cNvPr>
            <xdr:cNvSpPr/>
          </xdr:nvSpPr>
          <xdr:spPr>
            <a:xfrm>
              <a:off x="1133597" y="364038"/>
              <a:ext cx="83864" cy="307777"/>
            </a:xfrm>
            <a:custGeom>
              <a:avLst/>
              <a:gdLst/>
              <a:ahLst/>
              <a:cxnLst/>
              <a:rect l="l" t="t" r="r" b="b"/>
              <a:pathLst>
                <a:path w="83864" h="307777">
                  <a:moveTo>
                    <a:pt x="0" y="0"/>
                  </a:moveTo>
                  <a:lnTo>
                    <a:pt x="46907" y="0"/>
                  </a:lnTo>
                  <a:lnTo>
                    <a:pt x="46907" y="208476"/>
                  </a:lnTo>
                  <a:cubicBezTo>
                    <a:pt x="46907" y="236946"/>
                    <a:pt x="49631" y="256992"/>
                    <a:pt x="55080" y="268614"/>
                  </a:cubicBezTo>
                  <a:cubicBezTo>
                    <a:pt x="59795" y="279617"/>
                    <a:pt x="69390" y="292672"/>
                    <a:pt x="83864" y="307777"/>
                  </a:cubicBezTo>
                  <a:lnTo>
                    <a:pt x="60797" y="307777"/>
                  </a:lnTo>
                  <a:cubicBezTo>
                    <a:pt x="40521" y="298704"/>
                    <a:pt x="25235" y="286230"/>
                    <a:pt x="14939" y="270353"/>
                  </a:cubicBezTo>
                  <a:cubicBezTo>
                    <a:pt x="4980" y="254839"/>
                    <a:pt x="0" y="229530"/>
                    <a:pt x="0" y="194426"/>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sp macro="" textlink="">
          <xdr:nvSpPr>
            <xdr:cNvPr id="11" name="Freeform: Shape 10">
              <a:extLst>
                <a:ext uri="{FF2B5EF4-FFF2-40B4-BE49-F238E27FC236}">
                  <a16:creationId xmlns:a16="http://schemas.microsoft.com/office/drawing/2014/main" id="{A6BE461E-4015-48BE-B048-0422F695E7FA}"/>
                </a:ext>
              </a:extLst>
            </xdr:cNvPr>
            <xdr:cNvSpPr/>
          </xdr:nvSpPr>
          <xdr:spPr>
            <a:xfrm>
              <a:off x="1190237" y="364038"/>
              <a:ext cx="124759" cy="307777"/>
            </a:xfrm>
            <a:custGeom>
              <a:avLst/>
              <a:gdLst/>
              <a:ahLst/>
              <a:cxnLst/>
              <a:rect l="l" t="t" r="r" b="b"/>
              <a:pathLst>
                <a:path w="124759" h="307777">
                  <a:moveTo>
                    <a:pt x="0" y="0"/>
                  </a:moveTo>
                  <a:lnTo>
                    <a:pt x="46907" y="0"/>
                  </a:lnTo>
                  <a:lnTo>
                    <a:pt x="46907" y="207293"/>
                  </a:lnTo>
                  <a:cubicBezTo>
                    <a:pt x="46907" y="250544"/>
                    <a:pt x="61032" y="272169"/>
                    <a:pt x="89280" y="272169"/>
                  </a:cubicBezTo>
                  <a:cubicBezTo>
                    <a:pt x="98732" y="272169"/>
                    <a:pt x="110558" y="270029"/>
                    <a:pt x="124759" y="265749"/>
                  </a:cubicBezTo>
                  <a:lnTo>
                    <a:pt x="124759" y="286507"/>
                  </a:lnTo>
                  <a:cubicBezTo>
                    <a:pt x="107514" y="300687"/>
                    <a:pt x="89666" y="307777"/>
                    <a:pt x="71214" y="307777"/>
                  </a:cubicBezTo>
                  <a:cubicBezTo>
                    <a:pt x="54093" y="307777"/>
                    <a:pt x="39834" y="302684"/>
                    <a:pt x="28439" y="292499"/>
                  </a:cubicBezTo>
                  <a:cubicBezTo>
                    <a:pt x="15866" y="281777"/>
                    <a:pt x="8002" y="269795"/>
                    <a:pt x="4848" y="256553"/>
                  </a:cubicBezTo>
                  <a:cubicBezTo>
                    <a:pt x="1616" y="245251"/>
                    <a:pt x="0" y="226821"/>
                    <a:pt x="0" y="201262"/>
                  </a:cubicBezTo>
                  <a:lnTo>
                    <a:pt x="0" y="0"/>
                  </a:lnTo>
                  <a:close/>
                </a:path>
              </a:pathLst>
            </a:custGeom>
            <a:solidFill>
              <a:srgbClr val="FE7F66"/>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en-SG"/>
            </a:p>
          </xdr:txBody>
        </xdr:sp>
      </xdr:grpSp>
      <xdr:grpSp>
        <xdr:nvGrpSpPr>
          <xdr:cNvPr id="7" name="Group 6">
            <a:extLst>
              <a:ext uri="{FF2B5EF4-FFF2-40B4-BE49-F238E27FC236}">
                <a16:creationId xmlns:a16="http://schemas.microsoft.com/office/drawing/2014/main" id="{47EF7F3C-9488-4DC9-9165-8FE2FF4426A3}"/>
              </a:ext>
            </a:extLst>
          </xdr:cNvPr>
          <xdr:cNvGrpSpPr/>
        </xdr:nvGrpSpPr>
        <xdr:grpSpPr>
          <a:xfrm>
            <a:off x="1018991" y="0"/>
            <a:ext cx="342492" cy="333929"/>
            <a:chOff x="1018991" y="0"/>
            <a:chExt cx="1429405" cy="1393668"/>
          </a:xfrm>
        </xdr:grpSpPr>
        <xdr:sp macro="" textlink="">
          <xdr:nvSpPr>
            <xdr:cNvPr id="8" name="Freeform: Shape 7">
              <a:extLst>
                <a:ext uri="{FF2B5EF4-FFF2-40B4-BE49-F238E27FC236}">
                  <a16:creationId xmlns:a16="http://schemas.microsoft.com/office/drawing/2014/main" id="{B792F6AD-9073-4AE2-887D-7B3CE3BBBDA9}"/>
                </a:ext>
              </a:extLst>
            </xdr:cNvPr>
            <xdr:cNvSpPr/>
          </xdr:nvSpPr>
          <xdr:spPr>
            <a:xfrm>
              <a:off x="1018991" y="0"/>
              <a:ext cx="1429405" cy="1393668"/>
            </a:xfrm>
            <a:custGeom>
              <a:avLst/>
              <a:gdLst>
                <a:gd name="connsiteX0" fmla="*/ 373131 w 381000"/>
                <a:gd name="connsiteY0" fmla="*/ 167640 h 371475"/>
                <a:gd name="connsiteX1" fmla="*/ 380751 w 381000"/>
                <a:gd name="connsiteY1" fmla="*/ 138113 h 371475"/>
                <a:gd name="connsiteX2" fmla="*/ 355986 w 381000"/>
                <a:gd name="connsiteY2" fmla="*/ 120968 h 371475"/>
                <a:gd name="connsiteX3" fmla="*/ 268356 w 381000"/>
                <a:gd name="connsiteY3" fmla="*/ 120968 h 371475"/>
                <a:gd name="connsiteX4" fmla="*/ 243591 w 381000"/>
                <a:gd name="connsiteY4" fmla="*/ 102870 h 371475"/>
                <a:gd name="connsiteX5" fmla="*/ 215968 w 381000"/>
                <a:gd name="connsiteY5" fmla="*/ 18097 h 371475"/>
                <a:gd name="connsiteX6" fmla="*/ 191203 w 381000"/>
                <a:gd name="connsiteY6" fmla="*/ 0 h 371475"/>
                <a:gd name="connsiteX7" fmla="*/ 166438 w 381000"/>
                <a:gd name="connsiteY7" fmla="*/ 18097 h 371475"/>
                <a:gd name="connsiteX8" fmla="*/ 138816 w 381000"/>
                <a:gd name="connsiteY8" fmla="*/ 102870 h 371475"/>
                <a:gd name="connsiteX9" fmla="*/ 114051 w 381000"/>
                <a:gd name="connsiteY9" fmla="*/ 120968 h 371475"/>
                <a:gd name="connsiteX10" fmla="*/ 26421 w 381000"/>
                <a:gd name="connsiteY10" fmla="*/ 120968 h 371475"/>
                <a:gd name="connsiteX11" fmla="*/ 1656 w 381000"/>
                <a:gd name="connsiteY11" fmla="*/ 138113 h 371475"/>
                <a:gd name="connsiteX12" fmla="*/ 9276 w 381000"/>
                <a:gd name="connsiteY12" fmla="*/ 167640 h 371475"/>
                <a:gd name="connsiteX13" fmla="*/ 39756 w 381000"/>
                <a:gd name="connsiteY13" fmla="*/ 195263 h 371475"/>
                <a:gd name="connsiteX14" fmla="*/ 78808 w 381000"/>
                <a:gd name="connsiteY14" fmla="*/ 229552 h 371475"/>
                <a:gd name="connsiteX15" fmla="*/ 86428 w 381000"/>
                <a:gd name="connsiteY15" fmla="*/ 241935 h 371475"/>
                <a:gd name="connsiteX16" fmla="*/ 86428 w 381000"/>
                <a:gd name="connsiteY16" fmla="*/ 257175 h 371475"/>
                <a:gd name="connsiteX17" fmla="*/ 59758 w 381000"/>
                <a:gd name="connsiteY17" fmla="*/ 346710 h 371475"/>
                <a:gd name="connsiteX18" fmla="*/ 69283 w 381000"/>
                <a:gd name="connsiteY18" fmla="*/ 375285 h 371475"/>
                <a:gd name="connsiteX19" fmla="*/ 99763 w 381000"/>
                <a:gd name="connsiteY19" fmla="*/ 376238 h 371475"/>
                <a:gd name="connsiteX20" fmla="*/ 175963 w 381000"/>
                <a:gd name="connsiteY20" fmla="*/ 322898 h 371475"/>
                <a:gd name="connsiteX21" fmla="*/ 205491 w 381000"/>
                <a:gd name="connsiteY21" fmla="*/ 322898 h 371475"/>
                <a:gd name="connsiteX22" fmla="*/ 281691 w 381000"/>
                <a:gd name="connsiteY22" fmla="*/ 376238 h 371475"/>
                <a:gd name="connsiteX23" fmla="*/ 312171 w 381000"/>
                <a:gd name="connsiteY23" fmla="*/ 375285 h 371475"/>
                <a:gd name="connsiteX24" fmla="*/ 321696 w 381000"/>
                <a:gd name="connsiteY24" fmla="*/ 346710 h 371475"/>
                <a:gd name="connsiteX25" fmla="*/ 295978 w 381000"/>
                <a:gd name="connsiteY25" fmla="*/ 257175 h 371475"/>
                <a:gd name="connsiteX26" fmla="*/ 303598 w 381000"/>
                <a:gd name="connsiteY26" fmla="*/ 229552 h 371475"/>
                <a:gd name="connsiteX27" fmla="*/ 373131 w 381000"/>
                <a:gd name="connsiteY27" fmla="*/ 167640 h 3714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Lst>
              <a:rect l="l" t="t" r="r" b="b"/>
              <a:pathLst>
                <a:path w="381000" h="371475">
                  <a:moveTo>
                    <a:pt x="373131" y="167640"/>
                  </a:moveTo>
                  <a:cubicBezTo>
                    <a:pt x="381703" y="160020"/>
                    <a:pt x="384561" y="148590"/>
                    <a:pt x="380751" y="138113"/>
                  </a:cubicBezTo>
                  <a:cubicBezTo>
                    <a:pt x="376941" y="127635"/>
                    <a:pt x="367416" y="120968"/>
                    <a:pt x="355986" y="120968"/>
                  </a:cubicBezTo>
                  <a:lnTo>
                    <a:pt x="268356" y="120968"/>
                  </a:lnTo>
                  <a:cubicBezTo>
                    <a:pt x="256926" y="120968"/>
                    <a:pt x="247401" y="113348"/>
                    <a:pt x="243591" y="102870"/>
                  </a:cubicBezTo>
                  <a:lnTo>
                    <a:pt x="215968" y="18097"/>
                  </a:lnTo>
                  <a:cubicBezTo>
                    <a:pt x="212158" y="7620"/>
                    <a:pt x="202633" y="0"/>
                    <a:pt x="191203" y="0"/>
                  </a:cubicBezTo>
                  <a:cubicBezTo>
                    <a:pt x="179773" y="0"/>
                    <a:pt x="170248" y="7620"/>
                    <a:pt x="166438" y="18097"/>
                  </a:cubicBezTo>
                  <a:lnTo>
                    <a:pt x="138816" y="102870"/>
                  </a:lnTo>
                  <a:cubicBezTo>
                    <a:pt x="135006" y="113348"/>
                    <a:pt x="125481" y="120968"/>
                    <a:pt x="114051" y="120968"/>
                  </a:cubicBezTo>
                  <a:lnTo>
                    <a:pt x="26421" y="120968"/>
                  </a:lnTo>
                  <a:cubicBezTo>
                    <a:pt x="15943" y="120968"/>
                    <a:pt x="5466" y="127635"/>
                    <a:pt x="1656" y="138113"/>
                  </a:cubicBezTo>
                  <a:cubicBezTo>
                    <a:pt x="-2154" y="148590"/>
                    <a:pt x="703" y="160020"/>
                    <a:pt x="9276" y="167640"/>
                  </a:cubicBezTo>
                  <a:lnTo>
                    <a:pt x="39756" y="195263"/>
                  </a:lnTo>
                  <a:lnTo>
                    <a:pt x="78808" y="229552"/>
                  </a:lnTo>
                  <a:cubicBezTo>
                    <a:pt x="82618" y="233363"/>
                    <a:pt x="85476" y="237173"/>
                    <a:pt x="86428" y="241935"/>
                  </a:cubicBezTo>
                  <a:cubicBezTo>
                    <a:pt x="87381" y="246698"/>
                    <a:pt x="87381" y="252413"/>
                    <a:pt x="86428" y="257175"/>
                  </a:cubicBezTo>
                  <a:lnTo>
                    <a:pt x="59758" y="346710"/>
                  </a:lnTo>
                  <a:cubicBezTo>
                    <a:pt x="55948" y="357188"/>
                    <a:pt x="59758" y="368618"/>
                    <a:pt x="69283" y="375285"/>
                  </a:cubicBezTo>
                  <a:cubicBezTo>
                    <a:pt x="77856" y="381953"/>
                    <a:pt x="90238" y="381953"/>
                    <a:pt x="99763" y="376238"/>
                  </a:cubicBezTo>
                  <a:lnTo>
                    <a:pt x="175963" y="322898"/>
                  </a:lnTo>
                  <a:cubicBezTo>
                    <a:pt x="184536" y="316230"/>
                    <a:pt x="196918" y="316230"/>
                    <a:pt x="205491" y="322898"/>
                  </a:cubicBezTo>
                  <a:lnTo>
                    <a:pt x="281691" y="376238"/>
                  </a:lnTo>
                  <a:cubicBezTo>
                    <a:pt x="291216" y="382905"/>
                    <a:pt x="302646" y="381953"/>
                    <a:pt x="312171" y="375285"/>
                  </a:cubicBezTo>
                  <a:cubicBezTo>
                    <a:pt x="320743" y="368618"/>
                    <a:pt x="324553" y="357188"/>
                    <a:pt x="321696" y="346710"/>
                  </a:cubicBezTo>
                  <a:lnTo>
                    <a:pt x="295978" y="257175"/>
                  </a:lnTo>
                  <a:cubicBezTo>
                    <a:pt x="293121" y="247650"/>
                    <a:pt x="295978" y="236220"/>
                    <a:pt x="303598" y="229552"/>
                  </a:cubicBezTo>
                  <a:lnTo>
                    <a:pt x="373131" y="167640"/>
                  </a:lnTo>
                  <a:close/>
                </a:path>
              </a:pathLst>
            </a:custGeom>
            <a:gradFill>
              <a:gsLst>
                <a:gs pos="38000">
                  <a:srgbClr val="FDBC80"/>
                </a:gs>
                <a:gs pos="18000">
                  <a:srgbClr val="FCAB00"/>
                </a:gs>
                <a:gs pos="70000">
                  <a:srgbClr val="FE907A"/>
                </a:gs>
              </a:gsLst>
              <a:lin ang="3600000" scaled="0"/>
            </a:gradFill>
            <a:ln w="12700" cap="flat">
              <a:noFill/>
              <a:prstDash val="solid"/>
              <a:miter/>
            </a:ln>
          </xdr:spPr>
          <xdr:txBody>
            <a:bodyPr wrap="square" rtlCol="0" anchor="ctr"/>
            <a:lstStyle/>
            <a:p>
              <a:endParaRPr lang="en-SG"/>
            </a:p>
          </xdr:txBody>
        </xdr:sp>
        <xdr:sp macro="" textlink="">
          <xdr:nvSpPr>
            <xdr:cNvPr id="9" name="Block Arc 8">
              <a:extLst>
                <a:ext uri="{FF2B5EF4-FFF2-40B4-BE49-F238E27FC236}">
                  <a16:creationId xmlns:a16="http://schemas.microsoft.com/office/drawing/2014/main" id="{0E4B48F3-20CA-464F-8619-D5062F41DBAE}"/>
                </a:ext>
              </a:extLst>
            </xdr:cNvPr>
            <xdr:cNvSpPr/>
          </xdr:nvSpPr>
          <xdr:spPr>
            <a:xfrm rot="10800000">
              <a:off x="1483972" y="570271"/>
              <a:ext cx="515986" cy="456622"/>
            </a:xfrm>
            <a:prstGeom prst="blockArc">
              <a:avLst>
                <a:gd name="adj1" fmla="val 10800000"/>
                <a:gd name="adj2" fmla="val 97031"/>
                <a:gd name="adj3" fmla="val 11746"/>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SG"/>
            </a:p>
          </xdr:txBody>
        </xdr:sp>
      </xdr:grpSp>
    </xdr:grpSp>
    <xdr:clientData/>
  </xdr:twoCellAnchor>
  <xdr:twoCellAnchor editAs="oneCell">
    <xdr:from>
      <xdr:col>0</xdr:col>
      <xdr:colOff>1</xdr:colOff>
      <xdr:row>37</xdr:row>
      <xdr:rowOff>171451</xdr:rowOff>
    </xdr:from>
    <xdr:to>
      <xdr:col>2</xdr:col>
      <xdr:colOff>1930475</xdr:colOff>
      <xdr:row>61</xdr:row>
      <xdr:rowOff>38100</xdr:rowOff>
    </xdr:to>
    <xdr:pic>
      <xdr:nvPicPr>
        <xdr:cNvPr id="13" name="Picture 12">
          <a:extLst>
            <a:ext uri="{FF2B5EF4-FFF2-40B4-BE49-F238E27FC236}">
              <a16:creationId xmlns:a16="http://schemas.microsoft.com/office/drawing/2014/main" id="{B8AE7F25-60A2-4E22-9474-9DBE9E05A804}"/>
            </a:ext>
          </a:extLst>
        </xdr:cNvPr>
        <xdr:cNvPicPr>
          <a:picLocks noChangeAspect="1"/>
        </xdr:cNvPicPr>
      </xdr:nvPicPr>
      <xdr:blipFill>
        <a:blip xmlns:r="http://schemas.openxmlformats.org/officeDocument/2006/relationships" r:embed="rId1"/>
        <a:stretch>
          <a:fillRect/>
        </a:stretch>
      </xdr:blipFill>
      <xdr:spPr>
        <a:xfrm>
          <a:off x="1" y="10115551"/>
          <a:ext cx="5923354" cy="4438649"/>
        </a:xfrm>
        <a:prstGeom prst="rect">
          <a:avLst/>
        </a:prstGeom>
      </xdr:spPr>
    </xdr:pic>
    <xdr:clientData/>
  </xdr:twoCellAnchor>
  <xdr:twoCellAnchor editAs="oneCell">
    <xdr:from>
      <xdr:col>0</xdr:col>
      <xdr:colOff>0</xdr:colOff>
      <xdr:row>65</xdr:row>
      <xdr:rowOff>175359</xdr:rowOff>
    </xdr:from>
    <xdr:to>
      <xdr:col>2</xdr:col>
      <xdr:colOff>1919654</xdr:colOff>
      <xdr:row>81</xdr:row>
      <xdr:rowOff>144231</xdr:rowOff>
    </xdr:to>
    <xdr:pic>
      <xdr:nvPicPr>
        <xdr:cNvPr id="14" name="Picture 13">
          <a:extLst>
            <a:ext uri="{FF2B5EF4-FFF2-40B4-BE49-F238E27FC236}">
              <a16:creationId xmlns:a16="http://schemas.microsoft.com/office/drawing/2014/main" id="{21E5F94E-6163-314D-52E6-A711CF547167}"/>
            </a:ext>
          </a:extLst>
        </xdr:cNvPr>
        <xdr:cNvPicPr>
          <a:picLocks noChangeAspect="1"/>
        </xdr:cNvPicPr>
      </xdr:nvPicPr>
      <xdr:blipFill>
        <a:blip xmlns:r="http://schemas.openxmlformats.org/officeDocument/2006/relationships" r:embed="rId2"/>
        <a:stretch>
          <a:fillRect/>
        </a:stretch>
      </xdr:blipFill>
      <xdr:spPr>
        <a:xfrm>
          <a:off x="0" y="15548709"/>
          <a:ext cx="5913804" cy="3016872"/>
        </a:xfrm>
        <a:prstGeom prst="rect">
          <a:avLst/>
        </a:prstGeom>
      </xdr:spPr>
    </xdr:pic>
    <xdr:clientData/>
  </xdr:twoCellAnchor>
  <xdr:twoCellAnchor editAs="oneCell">
    <xdr:from>
      <xdr:col>1</xdr:col>
      <xdr:colOff>520212</xdr:colOff>
      <xdr:row>0</xdr:row>
      <xdr:rowOff>0</xdr:rowOff>
    </xdr:from>
    <xdr:to>
      <xdr:col>2</xdr:col>
      <xdr:colOff>732692</xdr:colOff>
      <xdr:row>3</xdr:row>
      <xdr:rowOff>159943</xdr:rowOff>
    </xdr:to>
    <xdr:pic>
      <xdr:nvPicPr>
        <xdr:cNvPr id="15" name="Picture 14" descr="A logo with red and grey text&#10;&#10;AI-generated content may be incorrect.">
          <a:extLst>
            <a:ext uri="{FF2B5EF4-FFF2-40B4-BE49-F238E27FC236}">
              <a16:creationId xmlns:a16="http://schemas.microsoft.com/office/drawing/2014/main" id="{B397D904-3765-6E74-D1ED-E6DF9AF9B6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121270" y="0"/>
          <a:ext cx="1604595" cy="1046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0</xdr:colOff>
          <xdr:row>42</xdr:row>
          <xdr:rowOff>581025</xdr:rowOff>
        </xdr:to>
        <xdr:pic>
          <xdr:nvPicPr>
            <xdr:cNvPr id="31" name="Picture 30">
              <a:extLst>
                <a:ext uri="{FF2B5EF4-FFF2-40B4-BE49-F238E27FC236}">
                  <a16:creationId xmlns:a16="http://schemas.microsoft.com/office/drawing/2014/main" id="{0C7D5231-AC92-47B4-B0F6-EB31D6790D65}"/>
                </a:ext>
              </a:extLst>
            </xdr:cNvPr>
            <xdr:cNvPicPr>
              <a:picLocks noChangeAspect="1"/>
              <a:extLst>
                <a:ext uri="{84589F7E-364E-4C9E-8A38-B11213B215E9}">
                  <a14:cameraTool cellRange="PWDSTAR" spid="_x0000_s8584"/>
                </a:ext>
              </a:extLst>
            </xdr:cNvPicPr>
          </xdr:nvPicPr>
          <xdr:blipFill>
            <a:blip xmlns:r="http://schemas.openxmlformats.org/officeDocument/2006/relationships" r:embed="rId1"/>
            <a:stretch>
              <a:fillRect/>
            </a:stretch>
          </xdr:blipFill>
          <xdr:spPr>
            <a:xfrm>
              <a:off x="2095500" y="8801100"/>
              <a:ext cx="581025" cy="581025"/>
            </a:xfrm>
            <a:prstGeom prst="rect">
              <a:avLst/>
            </a:prstGeom>
          </xdr:spPr>
        </xdr:pic>
        <xdr:clientData/>
      </xdr:twoCellAnchor>
    </mc:Choice>
    <mc:Fallback/>
  </mc:AlternateContent>
  <xdr:twoCellAnchor editAs="oneCell">
    <xdr:from>
      <xdr:col>2</xdr:col>
      <xdr:colOff>0</xdr:colOff>
      <xdr:row>37</xdr:row>
      <xdr:rowOff>0</xdr:rowOff>
    </xdr:from>
    <xdr:to>
      <xdr:col>2</xdr:col>
      <xdr:colOff>540000</xdr:colOff>
      <xdr:row>38</xdr:row>
      <xdr:rowOff>6600</xdr:rowOff>
    </xdr:to>
    <xdr:pic>
      <xdr:nvPicPr>
        <xdr:cNvPr id="33" name="Picture 32">
          <a:extLst>
            <a:ext uri="{FF2B5EF4-FFF2-40B4-BE49-F238E27FC236}">
              <a16:creationId xmlns:a16="http://schemas.microsoft.com/office/drawing/2014/main" id="{8CE8D89F-0D32-4A09-B7AD-8EBE073E6B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4475" y="6696075"/>
          <a:ext cx="540000" cy="540000"/>
        </a:xfrm>
        <a:prstGeom prst="rect">
          <a:avLst/>
        </a:prstGeom>
      </xdr:spPr>
    </xdr:pic>
    <xdr:clientData/>
  </xdr:twoCellAnchor>
  <xdr:twoCellAnchor editAs="oneCell">
    <xdr:from>
      <xdr:col>2</xdr:col>
      <xdr:colOff>0</xdr:colOff>
      <xdr:row>38</xdr:row>
      <xdr:rowOff>0</xdr:rowOff>
    </xdr:from>
    <xdr:to>
      <xdr:col>2</xdr:col>
      <xdr:colOff>545874</xdr:colOff>
      <xdr:row>39</xdr:row>
      <xdr:rowOff>6600</xdr:rowOff>
    </xdr:to>
    <xdr:pic>
      <xdr:nvPicPr>
        <xdr:cNvPr id="35" name="Picture 34">
          <a:extLst>
            <a:ext uri="{FF2B5EF4-FFF2-40B4-BE49-F238E27FC236}">
              <a16:creationId xmlns:a16="http://schemas.microsoft.com/office/drawing/2014/main" id="{13767EF0-5A8D-48CE-9F51-0E344FD6C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14475" y="7505700"/>
          <a:ext cx="539524" cy="540000"/>
        </a:xfrm>
        <a:prstGeom prst="rect">
          <a:avLst/>
        </a:prstGeom>
      </xdr:spPr>
    </xdr:pic>
    <xdr:clientData/>
  </xdr:twoCellAnchor>
  <xdr:twoCellAnchor editAs="oneCell">
    <xdr:from>
      <xdr:col>2</xdr:col>
      <xdr:colOff>0</xdr:colOff>
      <xdr:row>39</xdr:row>
      <xdr:rowOff>0</xdr:rowOff>
    </xdr:from>
    <xdr:to>
      <xdr:col>2</xdr:col>
      <xdr:colOff>540000</xdr:colOff>
      <xdr:row>40</xdr:row>
      <xdr:rowOff>6600</xdr:rowOff>
    </xdr:to>
    <xdr:pic>
      <xdr:nvPicPr>
        <xdr:cNvPr id="37" name="Picture 36">
          <a:extLst>
            <a:ext uri="{FF2B5EF4-FFF2-40B4-BE49-F238E27FC236}">
              <a16:creationId xmlns:a16="http://schemas.microsoft.com/office/drawing/2014/main" id="{53AFEE95-3A1A-4709-8C46-48AF3B36AE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14475" y="8315325"/>
          <a:ext cx="540000" cy="540000"/>
        </a:xfrm>
        <a:prstGeom prst="rect">
          <a:avLst/>
        </a:prstGeom>
      </xdr:spPr>
    </xdr:pic>
    <xdr:clientData/>
  </xdr:twoCellAnchor>
  <xdr:twoCellAnchor editAs="oneCell">
    <xdr:from>
      <xdr:col>3</xdr:col>
      <xdr:colOff>0</xdr:colOff>
      <xdr:row>37</xdr:row>
      <xdr:rowOff>0</xdr:rowOff>
    </xdr:from>
    <xdr:to>
      <xdr:col>3</xdr:col>
      <xdr:colOff>540477</xdr:colOff>
      <xdr:row>38</xdr:row>
      <xdr:rowOff>6600</xdr:rowOff>
    </xdr:to>
    <xdr:pic>
      <xdr:nvPicPr>
        <xdr:cNvPr id="39" name="Picture 38">
          <a:extLst>
            <a:ext uri="{FF2B5EF4-FFF2-40B4-BE49-F238E27FC236}">
              <a16:creationId xmlns:a16="http://schemas.microsoft.com/office/drawing/2014/main" id="{E95CBEC3-AB0A-4039-897A-E42454D66D3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05050" y="6696075"/>
          <a:ext cx="540477" cy="540000"/>
        </a:xfrm>
        <a:prstGeom prst="rect">
          <a:avLst/>
        </a:prstGeom>
      </xdr:spPr>
    </xdr:pic>
    <xdr:clientData/>
  </xdr:twoCellAnchor>
  <xdr:twoCellAnchor editAs="oneCell">
    <xdr:from>
      <xdr:col>3</xdr:col>
      <xdr:colOff>0</xdr:colOff>
      <xdr:row>38</xdr:row>
      <xdr:rowOff>0</xdr:rowOff>
    </xdr:from>
    <xdr:to>
      <xdr:col>3</xdr:col>
      <xdr:colOff>540000</xdr:colOff>
      <xdr:row>39</xdr:row>
      <xdr:rowOff>6600</xdr:rowOff>
    </xdr:to>
    <xdr:pic>
      <xdr:nvPicPr>
        <xdr:cNvPr id="41" name="Picture 40">
          <a:extLst>
            <a:ext uri="{FF2B5EF4-FFF2-40B4-BE49-F238E27FC236}">
              <a16:creationId xmlns:a16="http://schemas.microsoft.com/office/drawing/2014/main" id="{6FBC9075-E039-4D26-97A5-12D35318299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305050" y="7505700"/>
          <a:ext cx="540000" cy="540000"/>
        </a:xfrm>
        <a:prstGeom prst="rect">
          <a:avLst/>
        </a:prstGeom>
      </xdr:spPr>
    </xdr:pic>
    <xdr:clientData/>
  </xdr:twoCellAnchor>
  <xdr:twoCellAnchor editAs="oneCell">
    <xdr:from>
      <xdr:col>3</xdr:col>
      <xdr:colOff>0</xdr:colOff>
      <xdr:row>39</xdr:row>
      <xdr:rowOff>0</xdr:rowOff>
    </xdr:from>
    <xdr:to>
      <xdr:col>3</xdr:col>
      <xdr:colOff>540477</xdr:colOff>
      <xdr:row>40</xdr:row>
      <xdr:rowOff>6600</xdr:rowOff>
    </xdr:to>
    <xdr:pic>
      <xdr:nvPicPr>
        <xdr:cNvPr id="43" name="Picture 42">
          <a:extLst>
            <a:ext uri="{FF2B5EF4-FFF2-40B4-BE49-F238E27FC236}">
              <a16:creationId xmlns:a16="http://schemas.microsoft.com/office/drawing/2014/main" id="{BEE7A81A-4D23-4F9C-82EE-CE235F428DB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05050" y="8315325"/>
          <a:ext cx="540477" cy="540000"/>
        </a:xfrm>
        <a:prstGeom prst="rect">
          <a:avLst/>
        </a:prstGeom>
      </xdr:spPr>
    </xdr:pic>
    <xdr:clientData/>
  </xdr:twoCellAnchor>
  <xdr:twoCellAnchor editAs="oneCell">
    <xdr:from>
      <xdr:col>4</xdr:col>
      <xdr:colOff>0</xdr:colOff>
      <xdr:row>37</xdr:row>
      <xdr:rowOff>0</xdr:rowOff>
    </xdr:from>
    <xdr:to>
      <xdr:col>4</xdr:col>
      <xdr:colOff>540000</xdr:colOff>
      <xdr:row>38</xdr:row>
      <xdr:rowOff>6600</xdr:rowOff>
    </xdr:to>
    <xdr:pic>
      <xdr:nvPicPr>
        <xdr:cNvPr id="45" name="Picture 44">
          <a:extLst>
            <a:ext uri="{FF2B5EF4-FFF2-40B4-BE49-F238E27FC236}">
              <a16:creationId xmlns:a16="http://schemas.microsoft.com/office/drawing/2014/main" id="{B4270C73-FDA8-4D34-9A96-CD1F9EF0F40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95625" y="6696075"/>
          <a:ext cx="540000" cy="540000"/>
        </a:xfrm>
        <a:prstGeom prst="rect">
          <a:avLst/>
        </a:prstGeom>
      </xdr:spPr>
    </xdr:pic>
    <xdr:clientData/>
  </xdr:twoCellAnchor>
  <xdr:twoCellAnchor editAs="oneCell">
    <xdr:from>
      <xdr:col>4</xdr:col>
      <xdr:colOff>0</xdr:colOff>
      <xdr:row>38</xdr:row>
      <xdr:rowOff>0</xdr:rowOff>
    </xdr:from>
    <xdr:to>
      <xdr:col>4</xdr:col>
      <xdr:colOff>545874</xdr:colOff>
      <xdr:row>39</xdr:row>
      <xdr:rowOff>6600</xdr:rowOff>
    </xdr:to>
    <xdr:pic>
      <xdr:nvPicPr>
        <xdr:cNvPr id="47" name="Picture 46">
          <a:extLst>
            <a:ext uri="{FF2B5EF4-FFF2-40B4-BE49-F238E27FC236}">
              <a16:creationId xmlns:a16="http://schemas.microsoft.com/office/drawing/2014/main" id="{5534E20F-80E6-438B-8F56-2285138F942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095625" y="7505700"/>
          <a:ext cx="539524" cy="540000"/>
        </a:xfrm>
        <a:prstGeom prst="rect">
          <a:avLst/>
        </a:prstGeom>
      </xdr:spPr>
    </xdr:pic>
    <xdr:clientData/>
  </xdr:twoCellAnchor>
  <xdr:twoCellAnchor editAs="oneCell">
    <xdr:from>
      <xdr:col>4</xdr:col>
      <xdr:colOff>0</xdr:colOff>
      <xdr:row>39</xdr:row>
      <xdr:rowOff>0</xdr:rowOff>
    </xdr:from>
    <xdr:to>
      <xdr:col>4</xdr:col>
      <xdr:colOff>540000</xdr:colOff>
      <xdr:row>40</xdr:row>
      <xdr:rowOff>6600</xdr:rowOff>
    </xdr:to>
    <xdr:pic>
      <xdr:nvPicPr>
        <xdr:cNvPr id="49" name="Picture 48">
          <a:extLst>
            <a:ext uri="{FF2B5EF4-FFF2-40B4-BE49-F238E27FC236}">
              <a16:creationId xmlns:a16="http://schemas.microsoft.com/office/drawing/2014/main" id="{E846E77D-AA04-48B5-B72D-60355072961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095625" y="8315325"/>
          <a:ext cx="540000" cy="540000"/>
        </a:xfrm>
        <a:prstGeom prst="rect">
          <a:avLst/>
        </a:prstGeom>
      </xdr:spPr>
    </xdr:pic>
    <xdr:clientData/>
  </xdr:twoCellAnchor>
  <xdr:twoCellAnchor editAs="oneCell">
    <xdr:from>
      <xdr:col>5</xdr:col>
      <xdr:colOff>1</xdr:colOff>
      <xdr:row>37</xdr:row>
      <xdr:rowOff>0</xdr:rowOff>
    </xdr:from>
    <xdr:to>
      <xdr:col>5</xdr:col>
      <xdr:colOff>540478</xdr:colOff>
      <xdr:row>38</xdr:row>
      <xdr:rowOff>6600</xdr:rowOff>
    </xdr:to>
    <xdr:pic>
      <xdr:nvPicPr>
        <xdr:cNvPr id="51" name="Picture 50">
          <a:extLst>
            <a:ext uri="{FF2B5EF4-FFF2-40B4-BE49-F238E27FC236}">
              <a16:creationId xmlns:a16="http://schemas.microsoft.com/office/drawing/2014/main" id="{3060DC1B-0E5D-42A3-838B-C5A1483652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886201" y="6696075"/>
          <a:ext cx="540477" cy="540000"/>
        </a:xfrm>
        <a:prstGeom prst="rect">
          <a:avLst/>
        </a:prstGeom>
      </xdr:spPr>
    </xdr:pic>
    <xdr:clientData/>
  </xdr:twoCellAnchor>
  <xdr:twoCellAnchor editAs="oneCell">
    <xdr:from>
      <xdr:col>5</xdr:col>
      <xdr:colOff>0</xdr:colOff>
      <xdr:row>38</xdr:row>
      <xdr:rowOff>0</xdr:rowOff>
    </xdr:from>
    <xdr:to>
      <xdr:col>5</xdr:col>
      <xdr:colOff>540000</xdr:colOff>
      <xdr:row>39</xdr:row>
      <xdr:rowOff>6600</xdr:rowOff>
    </xdr:to>
    <xdr:pic>
      <xdr:nvPicPr>
        <xdr:cNvPr id="53" name="Picture 52">
          <a:extLst>
            <a:ext uri="{FF2B5EF4-FFF2-40B4-BE49-F238E27FC236}">
              <a16:creationId xmlns:a16="http://schemas.microsoft.com/office/drawing/2014/main" id="{C9B08BDC-0737-4872-A72C-45D35980881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886200" y="7505700"/>
          <a:ext cx="540000" cy="540000"/>
        </a:xfrm>
        <a:prstGeom prst="rect">
          <a:avLst/>
        </a:prstGeom>
      </xdr:spPr>
    </xdr:pic>
    <xdr:clientData/>
  </xdr:twoCellAnchor>
  <xdr:twoCellAnchor editAs="oneCell">
    <xdr:from>
      <xdr:col>5</xdr:col>
      <xdr:colOff>1</xdr:colOff>
      <xdr:row>39</xdr:row>
      <xdr:rowOff>0</xdr:rowOff>
    </xdr:from>
    <xdr:to>
      <xdr:col>5</xdr:col>
      <xdr:colOff>540478</xdr:colOff>
      <xdr:row>40</xdr:row>
      <xdr:rowOff>6600</xdr:rowOff>
    </xdr:to>
    <xdr:pic>
      <xdr:nvPicPr>
        <xdr:cNvPr id="55" name="Picture 54">
          <a:extLst>
            <a:ext uri="{FF2B5EF4-FFF2-40B4-BE49-F238E27FC236}">
              <a16:creationId xmlns:a16="http://schemas.microsoft.com/office/drawing/2014/main" id="{99428D94-D35D-468F-96ED-B3AA9950459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886201" y="83153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0</xdr:colOff>
          <xdr:row>43</xdr:row>
          <xdr:rowOff>577850</xdr:rowOff>
        </xdr:to>
        <xdr:pic>
          <xdr:nvPicPr>
            <xdr:cNvPr id="56" name="Picture 55">
              <a:extLst>
                <a:ext uri="{FF2B5EF4-FFF2-40B4-BE49-F238E27FC236}">
                  <a16:creationId xmlns:a16="http://schemas.microsoft.com/office/drawing/2014/main" id="{3549BEDC-21F1-4232-BD9A-A570DBF992D5}"/>
                </a:ext>
              </a:extLst>
            </xdr:cNvPr>
            <xdr:cNvPicPr>
              <a:picLocks noChangeAspect="1"/>
              <a:extLst>
                <a:ext uri="{84589F7E-364E-4C9E-8A38-B11213B215E9}">
                  <a14:cameraTool cellRange="ELDERSTAR" spid="_x0000_s8585"/>
                </a:ext>
              </a:extLst>
            </xdr:cNvPicPr>
          </xdr:nvPicPr>
          <xdr:blipFill>
            <a:blip xmlns:r="http://schemas.openxmlformats.org/officeDocument/2006/relationships" r:embed="rId14"/>
            <a:stretch>
              <a:fillRect/>
            </a:stretch>
          </xdr:blipFill>
          <xdr:spPr>
            <a:xfrm>
              <a:off x="2095500" y="94488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0</xdr:colOff>
          <xdr:row>44</xdr:row>
          <xdr:rowOff>577850</xdr:rowOff>
        </xdr:to>
        <xdr:pic>
          <xdr:nvPicPr>
            <xdr:cNvPr id="57" name="Picture 56">
              <a:extLst>
                <a:ext uri="{FF2B5EF4-FFF2-40B4-BE49-F238E27FC236}">
                  <a16:creationId xmlns:a16="http://schemas.microsoft.com/office/drawing/2014/main" id="{42908E52-32D0-4A5F-9487-29CF7D81501E}"/>
                </a:ext>
              </a:extLst>
            </xdr:cNvPr>
            <xdr:cNvPicPr>
              <a:picLocks noChangeAspect="1"/>
              <a:extLst>
                <a:ext uri="{84589F7E-364E-4C9E-8A38-B11213B215E9}">
                  <a14:cameraTool cellRange="FAMSTAR" spid="_x0000_s8586"/>
                </a:ext>
              </a:extLst>
            </xdr:cNvPicPr>
          </xdr:nvPicPr>
          <xdr:blipFill>
            <a:blip xmlns:r="http://schemas.openxmlformats.org/officeDocument/2006/relationships" r:embed="rId15"/>
            <a:stretch>
              <a:fillRect/>
            </a:stretch>
          </xdr:blipFill>
          <xdr:spPr>
            <a:xfrm>
              <a:off x="2095500" y="10096500"/>
              <a:ext cx="581025" cy="5810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0</xdr:colOff>
          <xdr:row>45</xdr:row>
          <xdr:rowOff>577850</xdr:rowOff>
        </xdr:to>
        <xdr:pic>
          <xdr:nvPicPr>
            <xdr:cNvPr id="58" name="Picture 57">
              <a:extLst>
                <a:ext uri="{FF2B5EF4-FFF2-40B4-BE49-F238E27FC236}">
                  <a16:creationId xmlns:a16="http://schemas.microsoft.com/office/drawing/2014/main" id="{D9B418DA-06DD-4BA9-A383-B861383DE4A0}"/>
                </a:ext>
              </a:extLst>
            </xdr:cNvPr>
            <xdr:cNvPicPr>
              <a:picLocks noChangeAspect="1"/>
              <a:extLst>
                <a:ext uri="{84589F7E-364E-4C9E-8A38-B11213B215E9}">
                  <a14:cameraTool cellRange="MUMSTAR" spid="_x0000_s8587"/>
                </a:ext>
              </a:extLst>
            </xdr:cNvPicPr>
          </xdr:nvPicPr>
          <xdr:blipFill>
            <a:blip xmlns:r="http://schemas.openxmlformats.org/officeDocument/2006/relationships" r:embed="rId16"/>
            <a:stretch>
              <a:fillRect/>
            </a:stretch>
          </xdr:blipFill>
          <xdr:spPr>
            <a:xfrm>
              <a:off x="2095500" y="10744200"/>
              <a:ext cx="581025" cy="581025"/>
            </a:xfrm>
            <a:prstGeom prst="rect">
              <a:avLst/>
            </a:prstGeom>
          </xdr:spPr>
        </xdr:pic>
        <xdr:clientData/>
      </xdr:twoCellAnchor>
    </mc:Choice>
    <mc:Fallback/>
  </mc:AlternateContent>
  <xdr:twoCellAnchor editAs="oneCell">
    <xdr:from>
      <xdr:col>6</xdr:col>
      <xdr:colOff>1</xdr:colOff>
      <xdr:row>37</xdr:row>
      <xdr:rowOff>0</xdr:rowOff>
    </xdr:from>
    <xdr:to>
      <xdr:col>6</xdr:col>
      <xdr:colOff>540478</xdr:colOff>
      <xdr:row>38</xdr:row>
      <xdr:rowOff>6600</xdr:rowOff>
    </xdr:to>
    <xdr:pic>
      <xdr:nvPicPr>
        <xdr:cNvPr id="60" name="Picture 59">
          <a:extLst>
            <a:ext uri="{FF2B5EF4-FFF2-40B4-BE49-F238E27FC236}">
              <a16:creationId xmlns:a16="http://schemas.microsoft.com/office/drawing/2014/main" id="{70050DBE-9E9B-4E26-A861-DE76C44FC8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838576" y="6696075"/>
          <a:ext cx="540477" cy="540000"/>
        </a:xfrm>
        <a:prstGeom prst="rect">
          <a:avLst/>
        </a:prstGeom>
      </xdr:spPr>
    </xdr:pic>
    <xdr:clientData/>
  </xdr:twoCellAnchor>
  <xdr:twoCellAnchor editAs="oneCell">
    <xdr:from>
      <xdr:col>6</xdr:col>
      <xdr:colOff>1</xdr:colOff>
      <xdr:row>39</xdr:row>
      <xdr:rowOff>0</xdr:rowOff>
    </xdr:from>
    <xdr:to>
      <xdr:col>6</xdr:col>
      <xdr:colOff>540478</xdr:colOff>
      <xdr:row>40</xdr:row>
      <xdr:rowOff>6600</xdr:rowOff>
    </xdr:to>
    <xdr:pic>
      <xdr:nvPicPr>
        <xdr:cNvPr id="62" name="Picture 61">
          <a:extLst>
            <a:ext uri="{FF2B5EF4-FFF2-40B4-BE49-F238E27FC236}">
              <a16:creationId xmlns:a16="http://schemas.microsoft.com/office/drawing/2014/main" id="{0775A6FD-510B-40F8-B77F-C0A7C5251D4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838576" y="7858125"/>
          <a:ext cx="540477" cy="54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57150</xdr:colOff>
          <xdr:row>46</xdr:row>
          <xdr:rowOff>533400</xdr:rowOff>
        </xdr:to>
        <xdr:pic>
          <xdr:nvPicPr>
            <xdr:cNvPr id="63" name="Picture 62">
              <a:extLst>
                <a:ext uri="{FF2B5EF4-FFF2-40B4-BE49-F238E27FC236}">
                  <a16:creationId xmlns:a16="http://schemas.microsoft.com/office/drawing/2014/main" id="{25F5D284-3160-46B0-93F3-015BFC9AD3FD}"/>
                </a:ext>
              </a:extLst>
            </xdr:cNvPr>
            <xdr:cNvPicPr>
              <a:picLocks noChangeAspect="1"/>
              <a:extLst>
                <a:ext uri="{84589F7E-364E-4C9E-8A38-B11213B215E9}">
                  <a14:cameraTool cellRange="CODESTAR" spid="_x0000_s8588"/>
                </a:ext>
              </a:extLst>
            </xdr:cNvPicPr>
          </xdr:nvPicPr>
          <xdr:blipFill>
            <a:blip xmlns:r="http://schemas.openxmlformats.org/officeDocument/2006/relationships" r:embed="rId19"/>
            <a:stretch>
              <a:fillRect/>
            </a:stretch>
          </xdr:blipFill>
          <xdr:spPr>
            <a:xfrm>
              <a:off x="2028825" y="11544300"/>
              <a:ext cx="609600" cy="533400"/>
            </a:xfrm>
            <a:prstGeom prst="rect">
              <a:avLst/>
            </a:prstGeom>
          </xdr:spPr>
        </xdr:pic>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CDBB-B5B3-4CE9-9CD1-EC33E500B0C9}">
  <dimension ref="A1:H65"/>
  <sheetViews>
    <sheetView tabSelected="1" zoomScaleNormal="100" workbookViewId="0">
      <selection activeCell="B7" sqref="B7:C7"/>
    </sheetView>
  </sheetViews>
  <sheetFormatPr defaultRowHeight="15" x14ac:dyDescent="0.25"/>
  <cols>
    <col min="1" max="1" width="39" customWidth="1"/>
    <col min="2" max="2" width="20.85546875" customWidth="1"/>
    <col min="3" max="3" width="29" customWidth="1"/>
    <col min="5" max="5" width="0" hidden="1" customWidth="1"/>
    <col min="6" max="7" width="9.140625" hidden="1" customWidth="1"/>
    <col min="8" max="8" width="10.42578125" hidden="1" customWidth="1"/>
    <col min="9" max="9" width="0" hidden="1" customWidth="1"/>
  </cols>
  <sheetData>
    <row r="1" spans="1:3" ht="31.5" x14ac:dyDescent="0.5">
      <c r="A1" s="2" t="s">
        <v>0</v>
      </c>
    </row>
    <row r="2" spans="1:3" ht="23.25" x14ac:dyDescent="0.35">
      <c r="A2" s="3" t="s">
        <v>1</v>
      </c>
    </row>
    <row r="3" spans="1:3" x14ac:dyDescent="0.25">
      <c r="A3" t="s">
        <v>2</v>
      </c>
    </row>
    <row r="4" spans="1:3" x14ac:dyDescent="0.25">
      <c r="C4" s="109" t="s">
        <v>584</v>
      </c>
    </row>
    <row r="5" spans="1:3" ht="23.25" x14ac:dyDescent="0.35">
      <c r="A5" s="3" t="s">
        <v>3</v>
      </c>
      <c r="C5" s="109"/>
    </row>
    <row r="6" spans="1:3" ht="15.75" thickBot="1" x14ac:dyDescent="0.3">
      <c r="A6" s="16" t="str">
        <f>IF(COUNTIF(B7:C14,"&lt;&gt;")=8,IF(COUNTIF(B16:C18,"&lt;&gt;")=3,"","Please fill in ALL fields below in yellow coloured cells"),"Please fill in ALL fields below in yellow coloured cells")</f>
        <v>Please fill in ALL fields below in yellow coloured cells</v>
      </c>
    </row>
    <row r="7" spans="1:3" x14ac:dyDescent="0.25">
      <c r="A7" s="97" t="s">
        <v>4</v>
      </c>
      <c r="B7" s="118"/>
      <c r="C7" s="119"/>
    </row>
    <row r="8" spans="1:3" ht="57.75" customHeight="1" x14ac:dyDescent="0.25">
      <c r="A8" s="98" t="s">
        <v>5</v>
      </c>
      <c r="B8" s="120"/>
      <c r="C8" s="121"/>
    </row>
    <row r="9" spans="1:3" ht="34.5" customHeight="1" x14ac:dyDescent="0.25">
      <c r="A9" s="98" t="s">
        <v>6</v>
      </c>
      <c r="B9" s="122"/>
      <c r="C9" s="123"/>
    </row>
    <row r="10" spans="1:3" ht="30.75" customHeight="1" x14ac:dyDescent="0.25">
      <c r="A10" s="99" t="s">
        <v>7</v>
      </c>
      <c r="B10" s="124"/>
      <c r="C10" s="125"/>
    </row>
    <row r="11" spans="1:3" ht="30" x14ac:dyDescent="0.25">
      <c r="A11" s="99" t="s">
        <v>8</v>
      </c>
      <c r="B11" s="126"/>
      <c r="C11" s="127"/>
    </row>
    <row r="12" spans="1:3" ht="17.25" x14ac:dyDescent="0.25">
      <c r="A12" s="98" t="s">
        <v>9</v>
      </c>
      <c r="B12" s="133">
        <f>SUM(Typologies!C5:C27)</f>
        <v>0</v>
      </c>
      <c r="C12" s="134"/>
    </row>
    <row r="13" spans="1:3" x14ac:dyDescent="0.25">
      <c r="A13" s="98" t="s">
        <v>10</v>
      </c>
      <c r="B13" s="135"/>
      <c r="C13" s="136"/>
    </row>
    <row r="14" spans="1:3" ht="15.75" thickBot="1" x14ac:dyDescent="0.3">
      <c r="A14" s="100" t="s">
        <v>11</v>
      </c>
      <c r="B14" s="128"/>
      <c r="C14" s="129"/>
    </row>
    <row r="15" spans="1:3" ht="15.75" thickBot="1" x14ac:dyDescent="0.3"/>
    <row r="16" spans="1:3" x14ac:dyDescent="0.25">
      <c r="A16" s="75" t="s">
        <v>12</v>
      </c>
      <c r="B16" s="118"/>
      <c r="C16" s="119"/>
    </row>
    <row r="17" spans="1:8" x14ac:dyDescent="0.25">
      <c r="A17" s="72" t="s">
        <v>13</v>
      </c>
      <c r="B17" s="135"/>
      <c r="C17" s="136"/>
    </row>
    <row r="18" spans="1:8" ht="15.75" thickBot="1" x14ac:dyDescent="0.3">
      <c r="A18" s="73" t="s">
        <v>14</v>
      </c>
      <c r="B18" s="128"/>
      <c r="C18" s="129"/>
    </row>
    <row r="19" spans="1:8" ht="15.75" thickBot="1" x14ac:dyDescent="0.3">
      <c r="B19" s="77"/>
      <c r="C19" s="77"/>
    </row>
    <row r="20" spans="1:8" x14ac:dyDescent="0.25">
      <c r="A20" s="78" t="s">
        <v>15</v>
      </c>
      <c r="B20" s="79"/>
      <c r="C20" s="80"/>
    </row>
    <row r="21" spans="1:8" ht="55.5" customHeight="1" x14ac:dyDescent="0.25">
      <c r="A21" s="130" t="s">
        <v>16</v>
      </c>
      <c r="B21" s="131"/>
      <c r="C21" s="132"/>
    </row>
    <row r="22" spans="1:8" ht="15.75" thickBot="1" x14ac:dyDescent="0.3"/>
    <row r="23" spans="1:8" ht="32.25" thickBot="1" x14ac:dyDescent="0.3">
      <c r="A23" s="110" t="s">
        <v>17</v>
      </c>
      <c r="B23" s="116" t="str">
        <f>IF(A6&lt;&gt;"","-",IF(Typologies!A2&lt;&gt;"","-",IF(COUNTIF(B30:B33,"PLEASE CHECK")=0,IF(COUNTIF(B30:B33,"MISSING INPUTS")=0,F23,"-"),"-")))</f>
        <v>-</v>
      </c>
      <c r="C23" s="117"/>
      <c r="F23" s="69" t="str">
        <f>IF(G23=References!B24,"E",IF(G23=References!B20,"A",IF(G23&gt;=References!B21,"B",IF(G23&gt;=References!B22,"C","D"))))</f>
        <v>E</v>
      </c>
      <c r="G23" s="69">
        <f>SUM(G30:G34)</f>
        <v>1</v>
      </c>
    </row>
    <row r="24" spans="1:8" ht="42" customHeight="1" thickBot="1" x14ac:dyDescent="0.3">
      <c r="A24" s="111"/>
      <c r="B24" s="112" t="str">
        <f>IF(COUNTIF(B23:C23,"-")&gt;0,"PLEASE CHECK YOUR INPUTS THROUGHOUT THE FORM",VLOOKUP(F23,References!A19:C24,3))</f>
        <v>PLEASE CHECK YOUR INPUTS THROUGHOUT THE FORM</v>
      </c>
      <c r="C24" s="113"/>
    </row>
    <row r="26" spans="1:8" ht="18.75" x14ac:dyDescent="0.25">
      <c r="A26" s="71" t="s">
        <v>18</v>
      </c>
    </row>
    <row r="27" spans="1:8" x14ac:dyDescent="0.25">
      <c r="A27" s="67" t="s">
        <v>19</v>
      </c>
    </row>
    <row r="28" spans="1:8" ht="15.75" thickBot="1" x14ac:dyDescent="0.3"/>
    <row r="29" spans="1:8" x14ac:dyDescent="0.25">
      <c r="A29" s="74" t="s">
        <v>20</v>
      </c>
      <c r="B29" s="114" t="s">
        <v>21</v>
      </c>
      <c r="C29" s="115"/>
      <c r="F29" t="s">
        <v>22</v>
      </c>
      <c r="G29" t="s">
        <v>23</v>
      </c>
      <c r="H29" t="s">
        <v>24</v>
      </c>
    </row>
    <row r="30" spans="1:8" x14ac:dyDescent="0.25">
      <c r="A30" s="84" t="s">
        <v>25</v>
      </c>
      <c r="B30" s="85" t="str">
        <f>IF(COUNTIF('Part 1 - Basic Provisions'!D:D,"PLEASE CHECK")&gt;0,"PLEASE CHECK",IF(COUNTIF('Part 1 - Basic Provisions'!D:D,"PLEASE INPUT")&gt;0,"MISSING INPUTS",(F30&amp;" points")))</f>
        <v>24 points</v>
      </c>
      <c r="C30" s="86" t="str">
        <f>IF(B30="PLEASE CHECK",B30,IF(B30="MISSING INPUTS",B30,G30&amp;" star"))</f>
        <v>0 star</v>
      </c>
      <c r="F30">
        <f>'Part 1 - Basic Provisions'!E4+'Part 2 - Specific Provisions'!E4+'Part 3 - Design Process'!E4</f>
        <v>24</v>
      </c>
      <c r="G30">
        <f>IF(F30&gt;=References!C29,1,IF(F30&gt;=References!C28,0.5,0))</f>
        <v>0</v>
      </c>
      <c r="H30" t="str">
        <f>IF(G30=0,"PWDZERO",IF(G30=0.5,"PWDHALF",IF(G30=1,"PWDONE","")))</f>
        <v>PWDZERO</v>
      </c>
    </row>
    <row r="31" spans="1:8" x14ac:dyDescent="0.25">
      <c r="A31" s="89" t="s">
        <v>26</v>
      </c>
      <c r="B31" s="87" t="str">
        <f>IF(COUNTIF('Part 1 - Basic Provisions'!D:D,"PLEASE CHECK")&gt;0,"PLEASE CHECK",IF(COUNTIF('Part 1 - Basic Provisions'!D:D,"PLEASE INPUT")&gt;0,"MISSING INPUTS",(F31&amp;" points")))</f>
        <v>24 points</v>
      </c>
      <c r="C31" s="88" t="str">
        <f t="shared" ref="C31:C33" si="0">IF(B31="PLEASE CHECK",B31,IF(B31="MISSING INPUTS",B31,G31&amp;" star"))</f>
        <v>0 star</v>
      </c>
      <c r="F31">
        <f>'Part 1 - Basic Provisions'!F4+'Part 2 - Specific Provisions'!F4+'Part 3 - Design Process'!F4</f>
        <v>24</v>
      </c>
      <c r="G31">
        <f>IF(F31&gt;=References!D29,1,IF(F31&gt;=References!D28,0.5,0))</f>
        <v>0</v>
      </c>
      <c r="H31" t="str">
        <f>IF(G31=0,"ELDERZERO",IF(G31=0.5,"ELDERHALF",IF(G31=1,"ELDERONE","")))</f>
        <v>ELDERZERO</v>
      </c>
    </row>
    <row r="32" spans="1:8" x14ac:dyDescent="0.25">
      <c r="A32" s="92" t="s">
        <v>27</v>
      </c>
      <c r="B32" s="90" t="str">
        <f>IF(COUNTIF('Part 1 - Basic Provisions'!D:D,"PLEASE CHECK")&gt;0,"PLEASE CHECK",IF(COUNTIF('Part 1 - Basic Provisions'!D:D,"PLEASE INPUT")&gt;0,"MISSING INPUTS",(F32&amp;" points")))</f>
        <v>19 points</v>
      </c>
      <c r="C32" s="91" t="str">
        <f t="shared" si="0"/>
        <v>0 star</v>
      </c>
      <c r="F32">
        <f>'Part 1 - Basic Provisions'!G4+'Part 2 - Specific Provisions'!G4+'Part 3 - Design Process'!G4</f>
        <v>19</v>
      </c>
      <c r="G32">
        <f>IF(F32&gt;=References!E29,1,IF(F32&gt;=References!E28,0.5,0))</f>
        <v>0</v>
      </c>
      <c r="H32" t="str">
        <f>IF(G32=0,"FAMZERO",IF(G32=0.5,"FAMHALF",IF(G32=1,"FAMONE","")))</f>
        <v>FAMZERO</v>
      </c>
    </row>
    <row r="33" spans="1:8" x14ac:dyDescent="0.25">
      <c r="A33" s="95" t="s">
        <v>28</v>
      </c>
      <c r="B33" s="93" t="str">
        <f>IF(COUNTIF('Part 1 - Basic Provisions'!D:D,"PLEASE CHECK")&gt;0,"PLEASE CHECK",IF(COUNTIF('Part 1 - Basic Provisions'!D:D,"PLEASE INPUT")&gt;0,"MISSING INPUTS",(F33&amp;" points")))</f>
        <v>14 points</v>
      </c>
      <c r="C33" s="94" t="str">
        <f t="shared" si="0"/>
        <v>0 star</v>
      </c>
      <c r="F33">
        <f>'Part 1 - Basic Provisions'!H4+'Part 2 - Specific Provisions'!H4+'Part 3 - Design Process'!H4</f>
        <v>14</v>
      </c>
      <c r="G33">
        <f>IF(F33&gt;=References!F29,1,IF(F33&gt;=References!F28,0.5,0))</f>
        <v>0</v>
      </c>
      <c r="H33" t="str">
        <f>IF(G33=0,"MUMZERO",IF(G33=0.5,"MUMHALF",IF(G33=1,"MUMONE","")))</f>
        <v>MUMZERO</v>
      </c>
    </row>
    <row r="34" spans="1:8" ht="15.75" thickBot="1" x14ac:dyDescent="0.3">
      <c r="A34" s="96" t="s">
        <v>29</v>
      </c>
      <c r="B34" s="76" t="s">
        <v>30</v>
      </c>
      <c r="C34" s="70" t="str">
        <f>G34&amp;" star"</f>
        <v>1 star</v>
      </c>
      <c r="G34">
        <f>IF(F30&gt;=References!C27,IF(F31&gt;=References!D27,IF(F32&gt;=References!E27,IF(F33&gt;=References!F27,1,0),0),0),0)</f>
        <v>1</v>
      </c>
      <c r="H34" t="str">
        <f>IF(G34=0,"CODEZERO",IF(G34=0.5,"CODEHALF",IF(G34=1,"CODEONE","")))</f>
        <v>CODEONE</v>
      </c>
    </row>
    <row r="35" spans="1:8" ht="15.75" thickBot="1" x14ac:dyDescent="0.3">
      <c r="A35" s="96"/>
      <c r="B35" s="102" t="s">
        <v>31</v>
      </c>
      <c r="C35" s="103" t="str">
        <f>IF(SUM(G30:G34)=1,SUM(G30:G34)&amp;" star",SUM(G30:G34)&amp;" stars")</f>
        <v>1 star</v>
      </c>
    </row>
    <row r="37" spans="1:8" ht="18.75" x14ac:dyDescent="0.25">
      <c r="A37" s="71" t="s">
        <v>32</v>
      </c>
    </row>
    <row r="65" spans="1:1" ht="18.75" x14ac:dyDescent="0.25">
      <c r="A65" s="71" t="s">
        <v>33</v>
      </c>
    </row>
  </sheetData>
  <sheetProtection algorithmName="SHA-512" hashValue="dzExqrPeSwmikBUV9a/0gjHhAFD2wAj438QcvxYTJ1JU6zyxg7G7H+9s/hqumKc5VgQXLOUdmBzcOqfIVtD08w==" saltValue="1qLuPhMrDYDa3gua6GOtIQ==" spinCount="100000" sheet="1" objects="1" scenarios="1"/>
  <protectedRanges>
    <protectedRange sqref="B7:C14 B16:C18" name="Range1"/>
  </protectedRanges>
  <mergeCells count="16">
    <mergeCell ref="A23:A24"/>
    <mergeCell ref="B24:C24"/>
    <mergeCell ref="B29:C29"/>
    <mergeCell ref="B23:C23"/>
    <mergeCell ref="B7:C7"/>
    <mergeCell ref="B8:C8"/>
    <mergeCell ref="B9:C9"/>
    <mergeCell ref="B10:C10"/>
    <mergeCell ref="B11:C11"/>
    <mergeCell ref="B18:C18"/>
    <mergeCell ref="A21:C21"/>
    <mergeCell ref="B12:C12"/>
    <mergeCell ref="B13:C13"/>
    <mergeCell ref="B14:C14"/>
    <mergeCell ref="B16:C16"/>
    <mergeCell ref="B17:C17"/>
  </mergeCells>
  <pageMargins left="0.25" right="0.25"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D422530-275C-4BED-AE96-D8E8868534FA}">
          <x14:formula1>
            <xm:f>References!$A$9:$A$11</xm:f>
          </x14:formula1>
          <xm:sqref>B13:C13</xm:sqref>
        </x14:dataValidation>
        <x14:dataValidation type="list" allowBlank="1" showInputMessage="1" showErrorMessage="1" xr:uid="{17990B27-8BB7-4E80-8352-5DF2780C1E56}">
          <x14:formula1>
            <xm:f>References!$A$14:$A$16</xm:f>
          </x14:formula1>
          <xm:sqref>B14:C14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76775-3CD8-4CA7-8F29-F63D4B7BE128}">
  <dimension ref="A1:D27"/>
  <sheetViews>
    <sheetView zoomScaleNormal="100" workbookViewId="0">
      <selection activeCell="C5" sqref="C5"/>
    </sheetView>
  </sheetViews>
  <sheetFormatPr defaultRowHeight="15" x14ac:dyDescent="0.25"/>
  <cols>
    <col min="1" max="1" width="4.140625" customWidth="1"/>
    <col min="2" max="2" width="65.85546875" customWidth="1"/>
    <col min="3" max="3" width="13" customWidth="1"/>
    <col min="4" max="4" width="9.85546875" customWidth="1"/>
  </cols>
  <sheetData>
    <row r="1" spans="1:4" ht="23.25" x14ac:dyDescent="0.35">
      <c r="A1" s="3" t="s">
        <v>34</v>
      </c>
    </row>
    <row r="2" spans="1:4" x14ac:dyDescent="0.25">
      <c r="A2" s="16" t="str">
        <f>IF(SUM(C4:C27)=0,"Please fill in GFA information","")</f>
        <v>Please fill in GFA information</v>
      </c>
    </row>
    <row r="3" spans="1:4" ht="48" x14ac:dyDescent="0.25">
      <c r="A3" s="13"/>
      <c r="B3" s="13"/>
      <c r="C3" s="14" t="s">
        <v>35</v>
      </c>
      <c r="D3" s="15" t="s">
        <v>36</v>
      </c>
    </row>
    <row r="4" spans="1:4" x14ac:dyDescent="0.25">
      <c r="A4" s="4"/>
      <c r="B4" s="5" t="s">
        <v>37</v>
      </c>
      <c r="C4" s="6"/>
      <c r="D4" s="7"/>
    </row>
    <row r="5" spans="1:4" x14ac:dyDescent="0.25">
      <c r="A5" s="4">
        <v>1</v>
      </c>
      <c r="B5" s="8" t="s">
        <v>38</v>
      </c>
      <c r="C5" s="9">
        <v>0</v>
      </c>
      <c r="D5" s="10">
        <v>0</v>
      </c>
    </row>
    <row r="6" spans="1:4" x14ac:dyDescent="0.25">
      <c r="A6" s="4">
        <v>2</v>
      </c>
      <c r="B6" s="8" t="s">
        <v>39</v>
      </c>
      <c r="C6" s="9">
        <v>0</v>
      </c>
      <c r="D6" s="10">
        <v>0</v>
      </c>
    </row>
    <row r="7" spans="1:4" x14ac:dyDescent="0.25">
      <c r="A7" s="4">
        <v>3</v>
      </c>
      <c r="B7" s="8" t="s">
        <v>40</v>
      </c>
      <c r="C7" s="9">
        <v>0</v>
      </c>
      <c r="D7" s="10">
        <v>0</v>
      </c>
    </row>
    <row r="8" spans="1:4" ht="30" x14ac:dyDescent="0.25">
      <c r="A8" s="4">
        <v>4</v>
      </c>
      <c r="B8" s="5" t="s">
        <v>41</v>
      </c>
      <c r="C8" s="9">
        <v>0</v>
      </c>
      <c r="D8" s="10">
        <v>0</v>
      </c>
    </row>
    <row r="9" spans="1:4" x14ac:dyDescent="0.25">
      <c r="A9" s="4">
        <v>5</v>
      </c>
      <c r="B9" s="5" t="s">
        <v>42</v>
      </c>
      <c r="C9" s="9">
        <v>0</v>
      </c>
      <c r="D9" s="10">
        <v>0</v>
      </c>
    </row>
    <row r="10" spans="1:4" x14ac:dyDescent="0.25">
      <c r="A10" s="4">
        <v>6</v>
      </c>
      <c r="B10" s="5" t="s">
        <v>43</v>
      </c>
      <c r="C10" s="9">
        <v>0</v>
      </c>
      <c r="D10" s="10">
        <v>0</v>
      </c>
    </row>
    <row r="11" spans="1:4" x14ac:dyDescent="0.25">
      <c r="A11" s="4">
        <v>7</v>
      </c>
      <c r="B11" s="5" t="s">
        <v>44</v>
      </c>
      <c r="C11" s="9">
        <v>0</v>
      </c>
      <c r="D11" s="10">
        <v>0</v>
      </c>
    </row>
    <row r="12" spans="1:4" x14ac:dyDescent="0.25">
      <c r="A12" s="4">
        <v>8</v>
      </c>
      <c r="B12" s="5" t="s">
        <v>45</v>
      </c>
      <c r="C12" s="9">
        <v>0</v>
      </c>
      <c r="D12" s="10">
        <v>0</v>
      </c>
    </row>
    <row r="13" spans="1:4" x14ac:dyDescent="0.25">
      <c r="A13" s="4">
        <v>9</v>
      </c>
      <c r="B13" s="5" t="s">
        <v>46</v>
      </c>
      <c r="C13" s="9">
        <v>0</v>
      </c>
      <c r="D13" s="10">
        <v>0</v>
      </c>
    </row>
    <row r="14" spans="1:4" ht="30" x14ac:dyDescent="0.25">
      <c r="A14" s="4">
        <v>10</v>
      </c>
      <c r="B14" s="5" t="s">
        <v>47</v>
      </c>
      <c r="C14" s="9">
        <v>0</v>
      </c>
      <c r="D14" s="10">
        <v>0</v>
      </c>
    </row>
    <row r="15" spans="1:4" x14ac:dyDescent="0.25">
      <c r="A15" s="4">
        <v>11</v>
      </c>
      <c r="B15" s="5" t="s">
        <v>48</v>
      </c>
      <c r="C15" s="9">
        <v>0</v>
      </c>
      <c r="D15" s="10">
        <v>0</v>
      </c>
    </row>
    <row r="16" spans="1:4" ht="30" x14ac:dyDescent="0.25">
      <c r="A16" s="4">
        <v>12</v>
      </c>
      <c r="B16" s="5" t="s">
        <v>49</v>
      </c>
      <c r="C16" s="9">
        <v>0</v>
      </c>
      <c r="D16" s="10">
        <v>0</v>
      </c>
    </row>
    <row r="17" spans="1:4" x14ac:dyDescent="0.25">
      <c r="A17" s="4">
        <v>13</v>
      </c>
      <c r="B17" s="5" t="s">
        <v>50</v>
      </c>
      <c r="C17" s="9">
        <v>0</v>
      </c>
      <c r="D17" s="10">
        <v>0</v>
      </c>
    </row>
    <row r="18" spans="1:4" x14ac:dyDescent="0.25">
      <c r="A18" s="4"/>
      <c r="B18" s="5" t="s">
        <v>51</v>
      </c>
      <c r="C18" s="11"/>
      <c r="D18" s="12"/>
    </row>
    <row r="19" spans="1:4" ht="30" x14ac:dyDescent="0.25">
      <c r="A19" s="4">
        <v>14</v>
      </c>
      <c r="B19" s="8" t="s">
        <v>52</v>
      </c>
      <c r="C19" s="9">
        <v>0</v>
      </c>
      <c r="D19" s="10">
        <v>0</v>
      </c>
    </row>
    <row r="20" spans="1:4" ht="30" x14ac:dyDescent="0.25">
      <c r="A20" s="4">
        <v>15</v>
      </c>
      <c r="B20" s="8" t="s">
        <v>53</v>
      </c>
      <c r="C20" s="9">
        <v>0</v>
      </c>
      <c r="D20" s="10">
        <v>0</v>
      </c>
    </row>
    <row r="21" spans="1:4" x14ac:dyDescent="0.25">
      <c r="A21" s="4">
        <v>16</v>
      </c>
      <c r="B21" s="5" t="s">
        <v>54</v>
      </c>
      <c r="C21" s="9">
        <v>0</v>
      </c>
      <c r="D21" s="10">
        <v>0</v>
      </c>
    </row>
    <row r="22" spans="1:4" x14ac:dyDescent="0.25">
      <c r="A22" s="4">
        <v>17</v>
      </c>
      <c r="B22" s="5" t="s">
        <v>55</v>
      </c>
      <c r="C22" s="9">
        <v>0</v>
      </c>
      <c r="D22" s="10">
        <v>0</v>
      </c>
    </row>
    <row r="23" spans="1:4" x14ac:dyDescent="0.25">
      <c r="A23" s="4">
        <v>18</v>
      </c>
      <c r="B23" s="5" t="s">
        <v>56</v>
      </c>
      <c r="C23" s="9">
        <v>0</v>
      </c>
      <c r="D23" s="10">
        <v>0</v>
      </c>
    </row>
    <row r="24" spans="1:4" ht="30" x14ac:dyDescent="0.25">
      <c r="A24" s="4">
        <v>19</v>
      </c>
      <c r="B24" s="5" t="s">
        <v>57</v>
      </c>
      <c r="C24" s="9">
        <v>0</v>
      </c>
      <c r="D24" s="10">
        <v>0</v>
      </c>
    </row>
    <row r="25" spans="1:4" x14ac:dyDescent="0.25">
      <c r="A25" s="4">
        <v>20</v>
      </c>
      <c r="B25" s="5" t="s">
        <v>58</v>
      </c>
      <c r="C25" s="9">
        <v>0</v>
      </c>
      <c r="D25" s="10">
        <v>0</v>
      </c>
    </row>
    <row r="26" spans="1:4" ht="30" x14ac:dyDescent="0.25">
      <c r="A26" s="4">
        <v>21</v>
      </c>
      <c r="B26" s="5" t="s">
        <v>59</v>
      </c>
      <c r="C26" s="9">
        <v>0</v>
      </c>
      <c r="D26" s="10">
        <v>0</v>
      </c>
    </row>
    <row r="27" spans="1:4" x14ac:dyDescent="0.25">
      <c r="A27" s="4">
        <v>22</v>
      </c>
      <c r="B27" s="5" t="s">
        <v>60</v>
      </c>
      <c r="C27" s="9">
        <v>0</v>
      </c>
      <c r="D27" s="10">
        <v>0</v>
      </c>
    </row>
  </sheetData>
  <sheetProtection algorithmName="SHA-512" hashValue="foVI5WzbTGp/SdX2GnVfzi8nqCpr30bxgq9T+c6fNgfuPr1agokoBmJOcyBM/XhrLSmh1UmOrnapn/x6Hcwddg==" saltValue="Hcj9Yt94hcDclQj/aa9HdQ==" spinCount="100000" sheet="1" objects="1" scenarios="1"/>
  <protectedRanges>
    <protectedRange sqref="C5:D17 C19:D27" name="Range1"/>
  </protectedRange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C222C-C5DB-4505-A23C-8467742DAE26}">
  <dimension ref="A1:M232"/>
  <sheetViews>
    <sheetView zoomScaleNormal="100" workbookViewId="0">
      <selection activeCell="C9" sqref="C9"/>
    </sheetView>
  </sheetViews>
  <sheetFormatPr defaultRowHeight="15" x14ac:dyDescent="0.25"/>
  <cols>
    <col min="1" max="1" width="5.85546875" style="24" customWidth="1"/>
    <col min="2" max="2" width="32.7109375" style="23" customWidth="1"/>
    <col min="3" max="3" width="10.85546875" style="21" customWidth="1"/>
    <col min="4" max="4" width="8.42578125" style="20" customWidth="1"/>
    <col min="5" max="8" width="8.7109375" style="21" customWidth="1"/>
    <col min="9" max="13" width="9.140625" hidden="1" customWidth="1"/>
  </cols>
  <sheetData>
    <row r="1" spans="1:13" ht="23.25" x14ac:dyDescent="0.25">
      <c r="A1" s="22" t="s">
        <v>61</v>
      </c>
    </row>
    <row r="2" spans="1:13" ht="15.75" thickBot="1" x14ac:dyDescent="0.3"/>
    <row r="3" spans="1:13" ht="45" x14ac:dyDescent="0.25">
      <c r="C3" s="32"/>
      <c r="D3" s="30"/>
      <c r="E3" s="26" t="s">
        <v>62</v>
      </c>
      <c r="F3" s="26" t="s">
        <v>63</v>
      </c>
      <c r="G3" s="26" t="s">
        <v>64</v>
      </c>
      <c r="H3" s="27" t="s">
        <v>65</v>
      </c>
    </row>
    <row r="4" spans="1:13" ht="24" thickBot="1" x14ac:dyDescent="0.3">
      <c r="C4" s="34" t="s">
        <v>66</v>
      </c>
      <c r="D4" s="31"/>
      <c r="E4" s="28">
        <f>E7+E49+E89+E105+E119+E127+E154+E213</f>
        <v>24</v>
      </c>
      <c r="F4" s="28">
        <f>F7+F49+F89+F105+F119+F127+F154+F213</f>
        <v>24</v>
      </c>
      <c r="G4" s="28">
        <f>G7+G49+G89+G105+G119+G127+G154+G213</f>
        <v>19</v>
      </c>
      <c r="H4" s="29">
        <f>H7+H49+H89+H105+H119+H127+H154+H213</f>
        <v>14</v>
      </c>
    </row>
    <row r="6" spans="1:13" ht="56.25" x14ac:dyDescent="0.25">
      <c r="A6" s="36"/>
      <c r="B6" s="25"/>
      <c r="C6" s="18" t="s">
        <v>67</v>
      </c>
      <c r="D6" s="18" t="s">
        <v>68</v>
      </c>
      <c r="E6" s="18" t="s">
        <v>69</v>
      </c>
      <c r="F6" s="18" t="s">
        <v>70</v>
      </c>
      <c r="G6" s="18" t="s">
        <v>71</v>
      </c>
      <c r="H6" s="18" t="s">
        <v>72</v>
      </c>
      <c r="I6" s="19" t="s">
        <v>73</v>
      </c>
      <c r="J6" s="19" t="s">
        <v>74</v>
      </c>
      <c r="K6" s="19" t="s">
        <v>75</v>
      </c>
      <c r="L6" s="19" t="s">
        <v>76</v>
      </c>
      <c r="M6" s="19" t="s">
        <v>77</v>
      </c>
    </row>
    <row r="7" spans="1:13" ht="18.75" x14ac:dyDescent="0.25">
      <c r="A7" s="54" t="s">
        <v>78</v>
      </c>
      <c r="B7" s="55" t="s">
        <v>79</v>
      </c>
      <c r="C7" s="56"/>
      <c r="D7" s="57"/>
      <c r="E7" s="64">
        <f>SUM(E8:E48)</f>
        <v>6</v>
      </c>
      <c r="F7" s="64">
        <f t="shared" ref="F7:H7" si="0">SUM(F8:F48)</f>
        <v>4</v>
      </c>
      <c r="G7" s="64">
        <f t="shared" si="0"/>
        <v>4</v>
      </c>
      <c r="H7" s="64">
        <f t="shared" si="0"/>
        <v>4</v>
      </c>
      <c r="I7" s="56"/>
      <c r="J7" s="56"/>
      <c r="K7" s="56"/>
      <c r="L7" s="56"/>
      <c r="M7" s="56"/>
    </row>
    <row r="8" spans="1:13" ht="33" customHeight="1" x14ac:dyDescent="0.25">
      <c r="A8" s="65" t="s">
        <v>80</v>
      </c>
      <c r="B8" s="66" t="s">
        <v>81</v>
      </c>
      <c r="C8" s="37"/>
      <c r="D8" s="47"/>
      <c r="E8" s="37" t="str">
        <f>IF(J8=1,$I8," ")</f>
        <v xml:space="preserve"> </v>
      </c>
      <c r="F8" s="37" t="str">
        <f t="shared" ref="F8" si="1">IF(K8=1,$I8," ")</f>
        <v xml:space="preserve"> </v>
      </c>
      <c r="G8" s="37" t="str">
        <f t="shared" ref="G8" si="2">IF(L8=1,$I8," ")</f>
        <v xml:space="preserve"> </v>
      </c>
      <c r="H8" s="37" t="str">
        <f t="shared" ref="H8" si="3">IF(M8=1,$I8," ")</f>
        <v xml:space="preserve"> </v>
      </c>
      <c r="I8" s="37"/>
      <c r="J8" s="37"/>
      <c r="K8" s="37"/>
      <c r="L8" s="37"/>
      <c r="M8" s="37"/>
    </row>
    <row r="9" spans="1:13" ht="30" x14ac:dyDescent="0.25">
      <c r="A9" s="17" t="s">
        <v>82</v>
      </c>
      <c r="B9" s="51" t="s">
        <v>83</v>
      </c>
      <c r="C9" s="38">
        <v>1</v>
      </c>
      <c r="D9" s="48" t="str">
        <f>IF(C9&lt;1,"PLEASE CHECK","")</f>
        <v/>
      </c>
      <c r="E9" s="37" t="str">
        <f>IF(J9=1,$I9," ")</f>
        <v xml:space="preserve"> </v>
      </c>
      <c r="F9" s="37" t="str">
        <f t="shared" ref="F9:H17" si="4">IF(K9=1,$I9," ")</f>
        <v xml:space="preserve"> </v>
      </c>
      <c r="G9" s="37" t="str">
        <f t="shared" si="4"/>
        <v xml:space="preserve"> </v>
      </c>
      <c r="H9" s="37" t="str">
        <f t="shared" si="4"/>
        <v xml:space="preserve"> </v>
      </c>
      <c r="I9" s="37"/>
      <c r="J9" s="37"/>
      <c r="K9" s="37"/>
      <c r="L9" s="37"/>
      <c r="M9" s="37"/>
    </row>
    <row r="10" spans="1:13" ht="30" x14ac:dyDescent="0.25">
      <c r="A10" s="17"/>
      <c r="B10" s="66" t="s">
        <v>84</v>
      </c>
      <c r="C10" s="37"/>
      <c r="D10" s="48"/>
      <c r="E10" s="37" t="str">
        <f t="shared" ref="E10" si="5">IF(J10=1,$I10," ")</f>
        <v xml:space="preserve"> </v>
      </c>
      <c r="F10" s="37" t="str">
        <f t="shared" si="4"/>
        <v xml:space="preserve"> </v>
      </c>
      <c r="G10" s="37" t="str">
        <f t="shared" si="4"/>
        <v xml:space="preserve"> </v>
      </c>
      <c r="H10" s="37" t="str">
        <f t="shared" si="4"/>
        <v xml:space="preserve"> </v>
      </c>
      <c r="I10" s="37"/>
      <c r="J10" s="37"/>
      <c r="K10" s="37"/>
      <c r="L10" s="37"/>
      <c r="M10" s="37"/>
    </row>
    <row r="11" spans="1:13" ht="28.5" customHeight="1" x14ac:dyDescent="0.25">
      <c r="A11" s="17" t="s">
        <v>86</v>
      </c>
      <c r="B11" s="51" t="s">
        <v>85</v>
      </c>
      <c r="C11" s="38">
        <v>1</v>
      </c>
      <c r="D11" s="48" t="str">
        <f>IF(C11&lt;1,"PLEASE CHECK",IF(C11&gt;C9,"PLEASE CHECK",""))</f>
        <v/>
      </c>
      <c r="E11" s="37" t="str">
        <f t="shared" ref="E11" si="6">IF(J11=1,$I11," ")</f>
        <v xml:space="preserve"> </v>
      </c>
      <c r="F11" s="37" t="str">
        <f t="shared" ref="F11" si="7">IF(K11=1,$I11," ")</f>
        <v xml:space="preserve"> </v>
      </c>
      <c r="G11" s="37" t="str">
        <f t="shared" ref="G11" si="8">IF(L11=1,$I11," ")</f>
        <v xml:space="preserve"> </v>
      </c>
      <c r="H11" s="37" t="str">
        <f t="shared" ref="H11" si="9">IF(M11=1,$I11," ")</f>
        <v xml:space="preserve"> </v>
      </c>
      <c r="I11" s="37"/>
      <c r="J11" s="37"/>
      <c r="K11" s="37"/>
      <c r="L11" s="37"/>
      <c r="M11" s="37"/>
    </row>
    <row r="12" spans="1:13" ht="30" x14ac:dyDescent="0.25">
      <c r="A12" s="17" t="s">
        <v>92</v>
      </c>
      <c r="B12" s="51" t="s">
        <v>87</v>
      </c>
      <c r="C12" s="38">
        <v>1</v>
      </c>
      <c r="D12" s="48" t="str">
        <f>IF(C12&lt;C11,"PLEASE CHECK",IF(C12&gt;C9,"PLEASE CHECK",""))</f>
        <v/>
      </c>
      <c r="E12" s="37" t="str">
        <f t="shared" ref="E12:E17" si="10">IF(J12=1,$I12," ")</f>
        <v xml:space="preserve"> </v>
      </c>
      <c r="F12" s="37" t="str">
        <f t="shared" si="4"/>
        <v xml:space="preserve"> </v>
      </c>
      <c r="G12" s="37" t="str">
        <f t="shared" si="4"/>
        <v xml:space="preserve"> </v>
      </c>
      <c r="H12" s="37" t="str">
        <f t="shared" si="4"/>
        <v xml:space="preserve"> </v>
      </c>
      <c r="I12" s="37"/>
      <c r="J12" s="37"/>
      <c r="K12" s="37"/>
      <c r="L12" s="37"/>
      <c r="M12" s="37"/>
    </row>
    <row r="13" spans="1:13" x14ac:dyDescent="0.25">
      <c r="A13" s="17"/>
      <c r="B13" s="52" t="s">
        <v>88</v>
      </c>
      <c r="C13" s="37"/>
      <c r="D13" s="47">
        <v>1</v>
      </c>
      <c r="E13" s="37">
        <f t="shared" si="10"/>
        <v>1</v>
      </c>
      <c r="F13" s="37">
        <f t="shared" si="4"/>
        <v>1</v>
      </c>
      <c r="G13" s="37">
        <f t="shared" si="4"/>
        <v>1</v>
      </c>
      <c r="H13" s="37">
        <f t="shared" si="4"/>
        <v>1</v>
      </c>
      <c r="I13" s="37">
        <f>IF(COUNTIF(D9:D12,"PLEASE CHECK")&gt;0,0,IF(C12&gt;=C11,D13,0))</f>
        <v>1</v>
      </c>
      <c r="J13" s="37">
        <v>1</v>
      </c>
      <c r="K13" s="37">
        <v>1</v>
      </c>
      <c r="L13" s="37">
        <v>1</v>
      </c>
      <c r="M13" s="37">
        <v>1</v>
      </c>
    </row>
    <row r="14" spans="1:13" ht="30" x14ac:dyDescent="0.25">
      <c r="A14" s="17"/>
      <c r="B14" s="52" t="s">
        <v>89</v>
      </c>
      <c r="C14" s="37"/>
      <c r="D14" s="47">
        <v>1</v>
      </c>
      <c r="E14" s="37">
        <f t="shared" si="10"/>
        <v>0</v>
      </c>
      <c r="F14" s="37">
        <f t="shared" si="4"/>
        <v>0</v>
      </c>
      <c r="G14" s="37">
        <f t="shared" si="4"/>
        <v>0</v>
      </c>
      <c r="H14" s="37">
        <f t="shared" si="4"/>
        <v>0</v>
      </c>
      <c r="I14" s="37">
        <f>IF(COUNTIF(D9:D12,"PLEASE CHECK")&gt;0,0,IF(C12&gt;C11,D14,0))</f>
        <v>0</v>
      </c>
      <c r="J14" s="37">
        <v>1</v>
      </c>
      <c r="K14" s="37">
        <v>1</v>
      </c>
      <c r="L14" s="37">
        <v>1</v>
      </c>
      <c r="M14" s="37">
        <v>1</v>
      </c>
    </row>
    <row r="15" spans="1:13" ht="45" x14ac:dyDescent="0.25">
      <c r="A15" s="17"/>
      <c r="B15" s="52" t="s">
        <v>90</v>
      </c>
      <c r="C15" s="37"/>
      <c r="D15" s="47">
        <v>2</v>
      </c>
      <c r="E15" s="37">
        <f t="shared" si="10"/>
        <v>0</v>
      </c>
      <c r="F15" s="37">
        <f t="shared" si="4"/>
        <v>0</v>
      </c>
      <c r="G15" s="37">
        <f t="shared" si="4"/>
        <v>0</v>
      </c>
      <c r="H15" s="37">
        <f t="shared" si="4"/>
        <v>0</v>
      </c>
      <c r="I15" s="37">
        <f>IF(COUNTIF(D9:D12,"PLEASE CHECK")&gt;0,0,IF(C12&gt;C11,IF(C12=C9,D15,0),0))</f>
        <v>0</v>
      </c>
      <c r="J15" s="37">
        <v>1</v>
      </c>
      <c r="K15" s="37">
        <v>1</v>
      </c>
      <c r="L15" s="37">
        <v>1</v>
      </c>
      <c r="M15" s="37">
        <v>1</v>
      </c>
    </row>
    <row r="16" spans="1:13" ht="45" x14ac:dyDescent="0.25">
      <c r="A16" s="17"/>
      <c r="B16" s="108" t="s">
        <v>91</v>
      </c>
      <c r="C16" s="37"/>
      <c r="D16" s="47"/>
      <c r="E16" s="37" t="str">
        <f t="shared" si="10"/>
        <v xml:space="preserve"> </v>
      </c>
      <c r="F16" s="37" t="str">
        <f t="shared" si="4"/>
        <v xml:space="preserve"> </v>
      </c>
      <c r="G16" s="37" t="str">
        <f t="shared" si="4"/>
        <v xml:space="preserve"> </v>
      </c>
      <c r="H16" s="37" t="str">
        <f t="shared" si="4"/>
        <v xml:space="preserve"> </v>
      </c>
      <c r="I16" s="37"/>
      <c r="J16" s="37"/>
      <c r="K16" s="37"/>
      <c r="L16" s="37"/>
      <c r="M16" s="37"/>
    </row>
    <row r="17" spans="1:13" x14ac:dyDescent="0.25">
      <c r="A17" s="17" t="s">
        <v>565</v>
      </c>
      <c r="B17" s="52" t="s">
        <v>85</v>
      </c>
      <c r="C17" s="38">
        <v>0</v>
      </c>
      <c r="D17" s="47"/>
      <c r="E17" s="37" t="str">
        <f t="shared" si="10"/>
        <v xml:space="preserve"> </v>
      </c>
      <c r="F17" s="37" t="str">
        <f t="shared" si="4"/>
        <v xml:space="preserve"> </v>
      </c>
      <c r="G17" s="37" t="str">
        <f t="shared" si="4"/>
        <v xml:space="preserve"> </v>
      </c>
      <c r="H17" s="37" t="str">
        <f t="shared" si="4"/>
        <v xml:space="preserve"> </v>
      </c>
      <c r="I17" s="37"/>
      <c r="J17" s="37"/>
      <c r="K17" s="37"/>
      <c r="L17" s="37"/>
      <c r="M17" s="37"/>
    </row>
    <row r="18" spans="1:13" ht="30" x14ac:dyDescent="0.25">
      <c r="A18" s="17" t="s">
        <v>566</v>
      </c>
      <c r="B18" s="51" t="s">
        <v>93</v>
      </c>
      <c r="C18" s="38">
        <v>0</v>
      </c>
      <c r="D18" s="48" t="str">
        <f>IF(C18&lt;C17,"PLEASE CHECK","")</f>
        <v/>
      </c>
      <c r="E18" s="37" t="str">
        <f t="shared" ref="E18:E21" si="11">IF(J18=1,$I18," ")</f>
        <v xml:space="preserve"> </v>
      </c>
      <c r="F18" s="37" t="str">
        <f t="shared" ref="F18:F21" si="12">IF(K18=1,$I18," ")</f>
        <v xml:space="preserve"> </v>
      </c>
      <c r="G18" s="37" t="str">
        <f t="shared" ref="G18:G21" si="13">IF(L18=1,$I18," ")</f>
        <v xml:space="preserve"> </v>
      </c>
      <c r="H18" s="37" t="str">
        <f t="shared" ref="H18:H21" si="14">IF(M18=1,$I18," ")</f>
        <v xml:space="preserve"> </v>
      </c>
      <c r="I18" s="37"/>
      <c r="J18" s="37"/>
      <c r="K18" s="37"/>
      <c r="L18" s="37"/>
      <c r="M18" s="37"/>
    </row>
    <row r="19" spans="1:13" x14ac:dyDescent="0.25">
      <c r="A19" s="17"/>
      <c r="B19" s="52" t="s">
        <v>88</v>
      </c>
      <c r="C19" s="37"/>
      <c r="D19" s="47">
        <v>1</v>
      </c>
      <c r="E19" s="37">
        <f t="shared" si="11"/>
        <v>1</v>
      </c>
      <c r="F19" s="37">
        <f t="shared" si="12"/>
        <v>1</v>
      </c>
      <c r="G19" s="37">
        <f t="shared" si="13"/>
        <v>1</v>
      </c>
      <c r="H19" s="37">
        <f t="shared" si="14"/>
        <v>1</v>
      </c>
      <c r="I19" s="37">
        <f>IF(D18="PLEASE CHECK",0,IF(C18&gt;=C17,D19,0))</f>
        <v>1</v>
      </c>
      <c r="J19" s="37">
        <v>1</v>
      </c>
      <c r="K19" s="37">
        <v>1</v>
      </c>
      <c r="L19" s="37">
        <v>1</v>
      </c>
      <c r="M19" s="37">
        <v>1</v>
      </c>
    </row>
    <row r="20" spans="1:13" ht="45" x14ac:dyDescent="0.25">
      <c r="A20" s="17"/>
      <c r="B20" s="52" t="s">
        <v>94</v>
      </c>
      <c r="C20" s="37"/>
      <c r="D20" s="47">
        <v>1</v>
      </c>
      <c r="E20" s="37">
        <f t="shared" si="11"/>
        <v>0</v>
      </c>
      <c r="F20" s="37">
        <f t="shared" si="12"/>
        <v>0</v>
      </c>
      <c r="G20" s="37">
        <f t="shared" si="13"/>
        <v>0</v>
      </c>
      <c r="H20" s="37">
        <f t="shared" si="14"/>
        <v>0</v>
      </c>
      <c r="I20" s="37">
        <f>IF(D18="PLEASE CHECK",0,IF(C18&gt;C17,D20,0))</f>
        <v>0</v>
      </c>
      <c r="J20" s="37">
        <v>1</v>
      </c>
      <c r="K20" s="37">
        <v>1</v>
      </c>
      <c r="L20" s="37">
        <v>1</v>
      </c>
      <c r="M20" s="37">
        <v>1</v>
      </c>
    </row>
    <row r="21" spans="1:13" ht="60" x14ac:dyDescent="0.25">
      <c r="A21" s="17"/>
      <c r="B21" s="52" t="s">
        <v>95</v>
      </c>
      <c r="C21" s="37"/>
      <c r="D21" s="47">
        <v>2</v>
      </c>
      <c r="E21" s="37">
        <f t="shared" si="11"/>
        <v>0</v>
      </c>
      <c r="F21" s="37">
        <f t="shared" si="12"/>
        <v>0</v>
      </c>
      <c r="G21" s="37">
        <f t="shared" si="13"/>
        <v>0</v>
      </c>
      <c r="H21" s="37">
        <f t="shared" si="14"/>
        <v>0</v>
      </c>
      <c r="I21" s="37">
        <f>IF(D18="PLEASE CHECK",0,IF(C18&gt;1,IF(C18=C12,D21,0),0))</f>
        <v>0</v>
      </c>
      <c r="J21" s="37">
        <v>1</v>
      </c>
      <c r="K21" s="37">
        <v>1</v>
      </c>
      <c r="L21" s="37">
        <v>1</v>
      </c>
      <c r="M21" s="37">
        <v>1</v>
      </c>
    </row>
    <row r="22" spans="1:13" ht="30" x14ac:dyDescent="0.25">
      <c r="A22" s="65" t="s">
        <v>96</v>
      </c>
      <c r="B22" s="66" t="s">
        <v>97</v>
      </c>
      <c r="C22" s="37"/>
      <c r="D22" s="47"/>
      <c r="E22" s="37" t="str">
        <f t="shared" ref="E22:E26" si="15">IF(J22=1,$I22," ")</f>
        <v xml:space="preserve"> </v>
      </c>
      <c r="F22" s="37" t="str">
        <f t="shared" ref="F22:F26" si="16">IF(K22=1,$I22," ")</f>
        <v xml:space="preserve"> </v>
      </c>
      <c r="G22" s="37" t="str">
        <f t="shared" ref="G22:G26" si="17">IF(L22=1,$I22," ")</f>
        <v xml:space="preserve"> </v>
      </c>
      <c r="H22" s="37" t="str">
        <f t="shared" ref="H22:H26" si="18">IF(M22=1,$I22," ")</f>
        <v xml:space="preserve"> </v>
      </c>
      <c r="I22" s="37"/>
      <c r="J22" s="37"/>
      <c r="K22" s="37"/>
      <c r="L22" s="37"/>
      <c r="M22" s="37"/>
    </row>
    <row r="23" spans="1:13" ht="30" x14ac:dyDescent="0.25">
      <c r="A23" s="17" t="s">
        <v>98</v>
      </c>
      <c r="B23" s="51" t="s">
        <v>99</v>
      </c>
      <c r="C23" s="38" t="s">
        <v>100</v>
      </c>
      <c r="D23" s="47">
        <v>1</v>
      </c>
      <c r="E23" s="37">
        <f t="shared" si="15"/>
        <v>0</v>
      </c>
      <c r="F23" s="37">
        <f t="shared" si="16"/>
        <v>0</v>
      </c>
      <c r="G23" s="37">
        <f t="shared" si="17"/>
        <v>0</v>
      </c>
      <c r="H23" s="37">
        <f t="shared" si="18"/>
        <v>0</v>
      </c>
      <c r="I23" s="37">
        <f>IF(C23="Y",D23,0)</f>
        <v>0</v>
      </c>
      <c r="J23" s="37">
        <v>1</v>
      </c>
      <c r="K23" s="37">
        <v>1</v>
      </c>
      <c r="L23" s="37">
        <v>1</v>
      </c>
      <c r="M23" s="37">
        <v>1</v>
      </c>
    </row>
    <row r="24" spans="1:13" ht="30" x14ac:dyDescent="0.25">
      <c r="A24" s="17" t="s">
        <v>101</v>
      </c>
      <c r="B24" s="51" t="s">
        <v>102</v>
      </c>
      <c r="C24" s="38" t="s">
        <v>100</v>
      </c>
      <c r="D24" s="47">
        <v>1</v>
      </c>
      <c r="E24" s="37">
        <f t="shared" si="15"/>
        <v>0</v>
      </c>
      <c r="F24" s="37">
        <f t="shared" si="16"/>
        <v>0</v>
      </c>
      <c r="G24" s="37">
        <f t="shared" si="17"/>
        <v>0</v>
      </c>
      <c r="H24" s="37">
        <f t="shared" si="18"/>
        <v>0</v>
      </c>
      <c r="I24" s="37">
        <f>IF(C24="Y",D24,0)</f>
        <v>0</v>
      </c>
      <c r="J24" s="37">
        <v>1</v>
      </c>
      <c r="K24" s="37">
        <v>1</v>
      </c>
      <c r="L24" s="37">
        <v>1</v>
      </c>
      <c r="M24" s="37">
        <v>1</v>
      </c>
    </row>
    <row r="25" spans="1:13" x14ac:dyDescent="0.25">
      <c r="A25" s="65" t="s">
        <v>103</v>
      </c>
      <c r="B25" s="66" t="s">
        <v>104</v>
      </c>
      <c r="C25" s="37"/>
      <c r="D25" s="47"/>
      <c r="E25" s="37" t="str">
        <f t="shared" si="15"/>
        <v xml:space="preserve"> </v>
      </c>
      <c r="F25" s="37" t="str">
        <f t="shared" si="16"/>
        <v xml:space="preserve"> </v>
      </c>
      <c r="G25" s="37" t="str">
        <f t="shared" si="17"/>
        <v xml:space="preserve"> </v>
      </c>
      <c r="H25" s="37" t="str">
        <f t="shared" si="18"/>
        <v xml:space="preserve"> </v>
      </c>
      <c r="I25" s="37"/>
      <c r="J25" s="37"/>
      <c r="K25" s="37"/>
      <c r="L25" s="37"/>
      <c r="M25" s="37"/>
    </row>
    <row r="26" spans="1:13" ht="45" x14ac:dyDescent="0.25">
      <c r="A26" s="17"/>
      <c r="B26" s="51" t="s">
        <v>105</v>
      </c>
      <c r="C26" s="37"/>
      <c r="D26" s="47"/>
      <c r="E26" s="37" t="str">
        <f t="shared" si="15"/>
        <v xml:space="preserve"> </v>
      </c>
      <c r="F26" s="37" t="str">
        <f t="shared" si="16"/>
        <v xml:space="preserve"> </v>
      </c>
      <c r="G26" s="37" t="str">
        <f t="shared" si="17"/>
        <v xml:space="preserve"> </v>
      </c>
      <c r="H26" s="37" t="str">
        <f t="shared" si="18"/>
        <v xml:space="preserve"> </v>
      </c>
      <c r="I26" s="37"/>
      <c r="J26" s="37"/>
      <c r="K26" s="37"/>
      <c r="L26" s="37"/>
      <c r="M26" s="37"/>
    </row>
    <row r="27" spans="1:13" ht="30" x14ac:dyDescent="0.25">
      <c r="A27" s="17" t="s">
        <v>106</v>
      </c>
      <c r="B27" s="51" t="s">
        <v>107</v>
      </c>
      <c r="C27" s="38" t="s">
        <v>100</v>
      </c>
      <c r="D27" s="47">
        <v>1</v>
      </c>
      <c r="E27" s="37">
        <f t="shared" ref="E27:E34" si="19">IF(J27=1,$I27," ")</f>
        <v>0</v>
      </c>
      <c r="F27" s="37">
        <f t="shared" ref="F27:F34" si="20">IF(K27=1,$I27," ")</f>
        <v>0</v>
      </c>
      <c r="G27" s="37">
        <f t="shared" ref="G27:G34" si="21">IF(L27=1,$I27," ")</f>
        <v>0</v>
      </c>
      <c r="H27" s="37">
        <f t="shared" ref="H27:H34" si="22">IF(M27=1,$I27," ")</f>
        <v>0</v>
      </c>
      <c r="I27" s="37">
        <f>IF(C27="Y",D27,0)</f>
        <v>0</v>
      </c>
      <c r="J27" s="37">
        <v>1</v>
      </c>
      <c r="K27" s="37">
        <v>1</v>
      </c>
      <c r="L27" s="37">
        <v>1</v>
      </c>
      <c r="M27" s="37">
        <v>1</v>
      </c>
    </row>
    <row r="28" spans="1:13" x14ac:dyDescent="0.25">
      <c r="A28" s="17" t="s">
        <v>108</v>
      </c>
      <c r="B28" s="51" t="s">
        <v>109</v>
      </c>
      <c r="C28" s="38" t="s">
        <v>100</v>
      </c>
      <c r="D28" s="47">
        <v>1</v>
      </c>
      <c r="E28" s="37">
        <f t="shared" si="19"/>
        <v>0</v>
      </c>
      <c r="F28" s="37">
        <f t="shared" si="20"/>
        <v>0</v>
      </c>
      <c r="G28" s="37">
        <f t="shared" si="21"/>
        <v>0</v>
      </c>
      <c r="H28" s="37">
        <f t="shared" si="22"/>
        <v>0</v>
      </c>
      <c r="I28" s="37">
        <f t="shared" ref="I28:I31" si="23">IF(C28="Y",D28,0)</f>
        <v>0</v>
      </c>
      <c r="J28" s="37">
        <v>1</v>
      </c>
      <c r="K28" s="37">
        <v>1</v>
      </c>
      <c r="L28" s="37">
        <v>1</v>
      </c>
      <c r="M28" s="37">
        <v>1</v>
      </c>
    </row>
    <row r="29" spans="1:13" ht="45" x14ac:dyDescent="0.25">
      <c r="A29" s="17" t="s">
        <v>110</v>
      </c>
      <c r="B29" s="51" t="s">
        <v>111</v>
      </c>
      <c r="C29" s="38" t="s">
        <v>100</v>
      </c>
      <c r="D29" s="47">
        <v>1</v>
      </c>
      <c r="E29" s="37">
        <f t="shared" si="19"/>
        <v>0</v>
      </c>
      <c r="F29" s="37">
        <f t="shared" si="20"/>
        <v>0</v>
      </c>
      <c r="G29" s="37">
        <f t="shared" si="21"/>
        <v>0</v>
      </c>
      <c r="H29" s="37">
        <f t="shared" si="22"/>
        <v>0</v>
      </c>
      <c r="I29" s="37">
        <f t="shared" si="23"/>
        <v>0</v>
      </c>
      <c r="J29" s="37">
        <v>1</v>
      </c>
      <c r="K29" s="37">
        <v>1</v>
      </c>
      <c r="L29" s="37">
        <v>1</v>
      </c>
      <c r="M29" s="37">
        <v>1</v>
      </c>
    </row>
    <row r="30" spans="1:13" ht="60" x14ac:dyDescent="0.25">
      <c r="A30" s="17" t="s">
        <v>112</v>
      </c>
      <c r="B30" s="51" t="s">
        <v>113</v>
      </c>
      <c r="C30" s="38" t="s">
        <v>100</v>
      </c>
      <c r="D30" s="47">
        <v>1</v>
      </c>
      <c r="E30" s="37">
        <f t="shared" si="19"/>
        <v>0</v>
      </c>
      <c r="F30" s="37">
        <f t="shared" si="20"/>
        <v>0</v>
      </c>
      <c r="G30" s="37">
        <f t="shared" si="21"/>
        <v>0</v>
      </c>
      <c r="H30" s="37">
        <f t="shared" si="22"/>
        <v>0</v>
      </c>
      <c r="I30" s="37">
        <f t="shared" si="23"/>
        <v>0</v>
      </c>
      <c r="J30" s="37">
        <v>1</v>
      </c>
      <c r="K30" s="37">
        <v>1</v>
      </c>
      <c r="L30" s="37">
        <v>1</v>
      </c>
      <c r="M30" s="37">
        <v>1</v>
      </c>
    </row>
    <row r="31" spans="1:13" x14ac:dyDescent="0.25">
      <c r="A31" s="17" t="s">
        <v>114</v>
      </c>
      <c r="B31" s="51" t="s">
        <v>115</v>
      </c>
      <c r="C31" s="38" t="s">
        <v>100</v>
      </c>
      <c r="D31" s="47">
        <v>1</v>
      </c>
      <c r="E31" s="37">
        <f t="shared" si="19"/>
        <v>0</v>
      </c>
      <c r="F31" s="37">
        <f t="shared" si="20"/>
        <v>0</v>
      </c>
      <c r="G31" s="37">
        <f t="shared" si="21"/>
        <v>0</v>
      </c>
      <c r="H31" s="37">
        <f t="shared" si="22"/>
        <v>0</v>
      </c>
      <c r="I31" s="37">
        <f t="shared" si="23"/>
        <v>0</v>
      </c>
      <c r="J31" s="37">
        <v>1</v>
      </c>
      <c r="K31" s="37">
        <v>1</v>
      </c>
      <c r="L31" s="37">
        <v>1</v>
      </c>
      <c r="M31" s="37">
        <v>1</v>
      </c>
    </row>
    <row r="32" spans="1:13" x14ac:dyDescent="0.25">
      <c r="A32" s="17"/>
      <c r="B32" s="66" t="s">
        <v>116</v>
      </c>
      <c r="C32" s="37"/>
      <c r="D32" s="47"/>
      <c r="E32" s="37" t="str">
        <f t="shared" si="19"/>
        <v xml:space="preserve"> </v>
      </c>
      <c r="F32" s="37" t="str">
        <f t="shared" si="20"/>
        <v xml:space="preserve"> </v>
      </c>
      <c r="G32" s="37" t="str">
        <f t="shared" si="21"/>
        <v xml:space="preserve"> </v>
      </c>
      <c r="H32" s="37" t="str">
        <f t="shared" si="22"/>
        <v xml:space="preserve"> </v>
      </c>
      <c r="I32" s="37"/>
      <c r="J32" s="37"/>
      <c r="K32" s="37"/>
      <c r="L32" s="37"/>
      <c r="M32" s="37"/>
    </row>
    <row r="33" spans="1:13" ht="45" x14ac:dyDescent="0.25">
      <c r="A33" s="17"/>
      <c r="B33" s="51" t="s">
        <v>117</v>
      </c>
      <c r="C33" s="49">
        <f>SUM(Typologies!D5:D27)</f>
        <v>0</v>
      </c>
      <c r="D33" s="47"/>
      <c r="E33" s="37" t="str">
        <f t="shared" si="19"/>
        <v xml:space="preserve"> </v>
      </c>
      <c r="F33" s="37" t="str">
        <f t="shared" si="20"/>
        <v xml:space="preserve"> </v>
      </c>
      <c r="G33" s="37" t="str">
        <f t="shared" si="21"/>
        <v xml:space="preserve"> </v>
      </c>
      <c r="H33" s="37" t="str">
        <f t="shared" si="22"/>
        <v xml:space="preserve"> </v>
      </c>
      <c r="I33" s="37"/>
      <c r="J33" s="37"/>
      <c r="K33" s="37"/>
      <c r="L33" s="37"/>
      <c r="M33" s="37"/>
    </row>
    <row r="34" spans="1:13" x14ac:dyDescent="0.25">
      <c r="A34" s="65" t="s">
        <v>118</v>
      </c>
      <c r="B34" s="66" t="s">
        <v>579</v>
      </c>
      <c r="C34" s="37"/>
      <c r="D34" s="47"/>
      <c r="E34" s="37" t="str">
        <f t="shared" si="19"/>
        <v xml:space="preserve"> </v>
      </c>
      <c r="F34" s="37" t="str">
        <f t="shared" si="20"/>
        <v xml:space="preserve"> </v>
      </c>
      <c r="G34" s="37" t="str">
        <f t="shared" si="21"/>
        <v xml:space="preserve"> </v>
      </c>
      <c r="H34" s="37" t="str">
        <f t="shared" si="22"/>
        <v xml:space="preserve"> </v>
      </c>
      <c r="I34" s="37"/>
      <c r="J34" s="37"/>
      <c r="K34" s="37"/>
      <c r="L34" s="37"/>
      <c r="M34" s="37"/>
    </row>
    <row r="35" spans="1:13" ht="31.5" customHeight="1" x14ac:dyDescent="0.25">
      <c r="A35" s="17" t="s">
        <v>119</v>
      </c>
      <c r="B35" s="51" t="s">
        <v>85</v>
      </c>
      <c r="C35" s="38">
        <v>0</v>
      </c>
      <c r="D35" s="48" t="str">
        <f>IF(C35&gt;C33,"PLEASE CHECK",IF(C33&gt;10,IF(C35=0,"PLEASE CHECK",""),""))</f>
        <v/>
      </c>
      <c r="E35" s="37" t="str">
        <f t="shared" ref="E35:E40" si="24">IF(J35=1,$I35," ")</f>
        <v xml:space="preserve"> </v>
      </c>
      <c r="F35" s="37" t="str">
        <f t="shared" ref="F35:F40" si="25">IF(K35=1,$I35," ")</f>
        <v xml:space="preserve"> </v>
      </c>
      <c r="G35" s="37" t="str">
        <f t="shared" ref="G35:G40" si="26">IF(L35=1,$I35," ")</f>
        <v xml:space="preserve"> </v>
      </c>
      <c r="H35" s="37" t="str">
        <f t="shared" ref="H35:H40" si="27">IF(M35=1,$I35," ")</f>
        <v xml:space="preserve"> </v>
      </c>
      <c r="I35" s="37"/>
      <c r="J35" s="37"/>
      <c r="K35" s="37"/>
      <c r="L35" s="37"/>
      <c r="M35" s="37"/>
    </row>
    <row r="36" spans="1:13" ht="30" x14ac:dyDescent="0.25">
      <c r="A36" s="17" t="s">
        <v>120</v>
      </c>
      <c r="B36" s="51" t="s">
        <v>580</v>
      </c>
      <c r="C36" s="38">
        <v>0</v>
      </c>
      <c r="D36" s="48" t="str">
        <f>IF(C36&lt;C35,"PLEASE CHECK",IF(C36&gt;C33,"PLEASE CHECK",""))</f>
        <v/>
      </c>
      <c r="E36" s="37" t="str">
        <f t="shared" si="24"/>
        <v xml:space="preserve"> </v>
      </c>
      <c r="F36" s="37" t="str">
        <f t="shared" si="25"/>
        <v xml:space="preserve"> </v>
      </c>
      <c r="G36" s="37" t="str">
        <f t="shared" si="26"/>
        <v xml:space="preserve"> </v>
      </c>
      <c r="H36" s="37" t="str">
        <f t="shared" si="27"/>
        <v xml:space="preserve"> </v>
      </c>
      <c r="I36" s="37"/>
      <c r="J36" s="37"/>
      <c r="K36" s="37"/>
      <c r="L36" s="37"/>
      <c r="M36" s="37"/>
    </row>
    <row r="37" spans="1:13" x14ac:dyDescent="0.25">
      <c r="A37" s="17"/>
      <c r="B37" s="52" t="s">
        <v>88</v>
      </c>
      <c r="C37" s="37"/>
      <c r="D37" s="47">
        <v>2</v>
      </c>
      <c r="E37" s="37">
        <f t="shared" si="24"/>
        <v>2</v>
      </c>
      <c r="F37" s="37" t="str">
        <f t="shared" si="25"/>
        <v xml:space="preserve"> </v>
      </c>
      <c r="G37" s="37" t="str">
        <f t="shared" si="26"/>
        <v xml:space="preserve"> </v>
      </c>
      <c r="H37" s="37" t="str">
        <f t="shared" si="27"/>
        <v xml:space="preserve"> </v>
      </c>
      <c r="I37" s="37">
        <f>IF(COUNTIF(D35:D36,"PLEASE CHECK")&gt;0,0,IF(C36&gt;=C35,D37,0))</f>
        <v>2</v>
      </c>
      <c r="J37" s="37">
        <v>1</v>
      </c>
      <c r="K37" s="37"/>
      <c r="L37" s="37"/>
      <c r="M37" s="37"/>
    </row>
    <row r="38" spans="1:13" ht="30" x14ac:dyDescent="0.25">
      <c r="A38" s="17"/>
      <c r="B38" s="52" t="s">
        <v>121</v>
      </c>
      <c r="C38" s="37"/>
      <c r="D38" s="47">
        <v>1</v>
      </c>
      <c r="E38" s="37">
        <f t="shared" si="24"/>
        <v>0</v>
      </c>
      <c r="F38" s="37" t="str">
        <f t="shared" si="25"/>
        <v xml:space="preserve"> </v>
      </c>
      <c r="G38" s="37" t="str">
        <f t="shared" si="26"/>
        <v xml:space="preserve"> </v>
      </c>
      <c r="H38" s="37" t="str">
        <f t="shared" si="27"/>
        <v xml:space="preserve"> </v>
      </c>
      <c r="I38" s="37">
        <f>IF(COUNTIF(D35:D36,"PLEASE CHECK")&gt;0,0,IF(C36&gt;C35,D38,0))</f>
        <v>0</v>
      </c>
      <c r="J38" s="37">
        <v>1</v>
      </c>
      <c r="K38" s="37"/>
      <c r="L38" s="37"/>
      <c r="M38" s="37"/>
    </row>
    <row r="39" spans="1:13" ht="45" x14ac:dyDescent="0.25">
      <c r="A39" s="17"/>
      <c r="B39" s="52" t="s">
        <v>122</v>
      </c>
      <c r="C39" s="37"/>
      <c r="D39" s="47">
        <v>2</v>
      </c>
      <c r="E39" s="37">
        <f t="shared" si="24"/>
        <v>0</v>
      </c>
      <c r="F39" s="37" t="str">
        <f t="shared" si="25"/>
        <v xml:space="preserve"> </v>
      </c>
      <c r="G39" s="37" t="str">
        <f t="shared" si="26"/>
        <v xml:space="preserve"> </v>
      </c>
      <c r="H39" s="37" t="str">
        <f t="shared" si="27"/>
        <v xml:space="preserve"> </v>
      </c>
      <c r="I39" s="37">
        <f>IF(COUNTIF(D35:D36,"PLEASE CHECK")&gt;0,0,IF(C36&gt;C35,IF(C36/C35&gt;2,D39,0),0))</f>
        <v>0</v>
      </c>
      <c r="J39" s="37">
        <v>1</v>
      </c>
      <c r="K39" s="37"/>
      <c r="L39" s="37"/>
      <c r="M39" s="37"/>
    </row>
    <row r="40" spans="1:13" ht="30" x14ac:dyDescent="0.25">
      <c r="A40" s="17" t="s">
        <v>123</v>
      </c>
      <c r="B40" s="51" t="s">
        <v>124</v>
      </c>
      <c r="C40" s="38">
        <v>0</v>
      </c>
      <c r="D40" s="47">
        <f>IF(C40&gt;C36,"PLEASE CHECK",1)</f>
        <v>1</v>
      </c>
      <c r="E40" s="37">
        <f t="shared" si="24"/>
        <v>0</v>
      </c>
      <c r="F40" s="37" t="str">
        <f t="shared" si="25"/>
        <v xml:space="preserve"> </v>
      </c>
      <c r="G40" s="37" t="str">
        <f t="shared" si="26"/>
        <v xml:space="preserve"> </v>
      </c>
      <c r="H40" s="37" t="str">
        <f t="shared" si="27"/>
        <v xml:space="preserve"> </v>
      </c>
      <c r="I40" s="37">
        <f>IF(COUNTIF(D35:D40,"PLEASE CHECK")&gt;0,0,IF(C40&gt;0,D40,0))</f>
        <v>0</v>
      </c>
      <c r="J40" s="37">
        <v>1</v>
      </c>
      <c r="K40" s="37"/>
      <c r="L40" s="37"/>
      <c r="M40" s="37"/>
    </row>
    <row r="41" spans="1:13" x14ac:dyDescent="0.25">
      <c r="A41" s="65" t="s">
        <v>125</v>
      </c>
      <c r="B41" s="66" t="s">
        <v>581</v>
      </c>
      <c r="C41" s="37"/>
      <c r="D41" s="47"/>
      <c r="E41" s="37" t="str">
        <f t="shared" ref="E41:E46" si="28">IF(J41=1,$I41," ")</f>
        <v xml:space="preserve"> </v>
      </c>
      <c r="F41" s="37" t="str">
        <f t="shared" ref="F41:F46" si="29">IF(K41=1,$I41," ")</f>
        <v xml:space="preserve"> </v>
      </c>
      <c r="G41" s="37" t="str">
        <f t="shared" ref="G41:G46" si="30">IF(L41=1,$I41," ")</f>
        <v xml:space="preserve"> </v>
      </c>
      <c r="H41" s="37" t="str">
        <f t="shared" ref="H41:H46" si="31">IF(M41=1,$I41," ")</f>
        <v xml:space="preserve"> </v>
      </c>
      <c r="I41" s="37"/>
      <c r="J41" s="37"/>
      <c r="K41" s="37"/>
      <c r="L41" s="37"/>
      <c r="M41" s="37"/>
    </row>
    <row r="42" spans="1:13" ht="27.75" customHeight="1" x14ac:dyDescent="0.25">
      <c r="A42" s="17" t="s">
        <v>126</v>
      </c>
      <c r="B42" s="51" t="s">
        <v>85</v>
      </c>
      <c r="C42" s="38">
        <v>0</v>
      </c>
      <c r="D42" s="48" t="str">
        <f>IF(C42&gt;C33,"PLEASE CHECK","")</f>
        <v/>
      </c>
      <c r="E42" s="37" t="str">
        <f t="shared" si="28"/>
        <v xml:space="preserve"> </v>
      </c>
      <c r="F42" s="37" t="str">
        <f t="shared" si="29"/>
        <v xml:space="preserve"> </v>
      </c>
      <c r="G42" s="37" t="str">
        <f t="shared" si="30"/>
        <v xml:space="preserve"> </v>
      </c>
      <c r="H42" s="37" t="str">
        <f t="shared" si="31"/>
        <v xml:space="preserve"> </v>
      </c>
      <c r="I42" s="37"/>
      <c r="J42" s="37"/>
      <c r="K42" s="37"/>
      <c r="L42" s="37"/>
      <c r="M42" s="37"/>
    </row>
    <row r="43" spans="1:13" ht="30" x14ac:dyDescent="0.25">
      <c r="A43" s="17" t="s">
        <v>127</v>
      </c>
      <c r="B43" s="51" t="s">
        <v>582</v>
      </c>
      <c r="C43" s="38">
        <v>0</v>
      </c>
      <c r="D43" s="48" t="str">
        <f>IF(C43&lt;C42,"PLEASE CHECK",IF(C43&gt;C33,"PLEASE CHECK",""))</f>
        <v/>
      </c>
      <c r="E43" s="37" t="str">
        <f t="shared" si="28"/>
        <v xml:space="preserve"> </v>
      </c>
      <c r="F43" s="37" t="str">
        <f t="shared" si="29"/>
        <v xml:space="preserve"> </v>
      </c>
      <c r="G43" s="37" t="str">
        <f t="shared" si="30"/>
        <v xml:space="preserve"> </v>
      </c>
      <c r="H43" s="37" t="str">
        <f t="shared" si="31"/>
        <v xml:space="preserve"> </v>
      </c>
      <c r="I43" s="37"/>
      <c r="J43" s="37"/>
      <c r="K43" s="37"/>
      <c r="L43" s="37"/>
      <c r="M43" s="37"/>
    </row>
    <row r="44" spans="1:13" x14ac:dyDescent="0.25">
      <c r="A44" s="17"/>
      <c r="B44" s="52" t="s">
        <v>88</v>
      </c>
      <c r="C44" s="37"/>
      <c r="D44" s="47">
        <v>2</v>
      </c>
      <c r="E44" s="37">
        <f t="shared" si="28"/>
        <v>2</v>
      </c>
      <c r="F44" s="37">
        <f t="shared" si="29"/>
        <v>2</v>
      </c>
      <c r="G44" s="37">
        <f t="shared" si="30"/>
        <v>2</v>
      </c>
      <c r="H44" s="37">
        <f t="shared" si="31"/>
        <v>2</v>
      </c>
      <c r="I44" s="37">
        <f>IF(COUNTIF(D42:D43,"PLEASE CHECK")&gt;0,0,IF(C43&gt;=C42,D44,0))</f>
        <v>2</v>
      </c>
      <c r="J44" s="37">
        <v>1</v>
      </c>
      <c r="K44" s="37">
        <v>1</v>
      </c>
      <c r="L44" s="37">
        <v>1</v>
      </c>
      <c r="M44" s="37">
        <v>1</v>
      </c>
    </row>
    <row r="45" spans="1:13" ht="30" x14ac:dyDescent="0.25">
      <c r="A45" s="17"/>
      <c r="B45" s="52" t="s">
        <v>128</v>
      </c>
      <c r="C45" s="37"/>
      <c r="D45" s="47">
        <v>1</v>
      </c>
      <c r="E45" s="37">
        <f t="shared" si="28"/>
        <v>0</v>
      </c>
      <c r="F45" s="37">
        <f t="shared" si="29"/>
        <v>0</v>
      </c>
      <c r="G45" s="37">
        <f t="shared" si="30"/>
        <v>0</v>
      </c>
      <c r="H45" s="37">
        <f t="shared" si="31"/>
        <v>0</v>
      </c>
      <c r="I45" s="37">
        <f>IF(COUNTIF(D42:D43,"PLEASE CHECK")&gt;0,0,IF(C43&gt;C42,D45,0))</f>
        <v>0</v>
      </c>
      <c r="J45" s="37">
        <v>1</v>
      </c>
      <c r="K45" s="37">
        <v>1</v>
      </c>
      <c r="L45" s="37">
        <v>1</v>
      </c>
      <c r="M45" s="37">
        <v>1</v>
      </c>
    </row>
    <row r="46" spans="1:13" ht="60" x14ac:dyDescent="0.25">
      <c r="A46" s="17"/>
      <c r="B46" s="52" t="s">
        <v>129</v>
      </c>
      <c r="C46" s="37"/>
      <c r="D46" s="47">
        <v>2</v>
      </c>
      <c r="E46" s="37">
        <f t="shared" si="28"/>
        <v>0</v>
      </c>
      <c r="F46" s="37">
        <f t="shared" si="29"/>
        <v>0</v>
      </c>
      <c r="G46" s="37">
        <f t="shared" si="30"/>
        <v>0</v>
      </c>
      <c r="H46" s="37">
        <f t="shared" si="31"/>
        <v>0</v>
      </c>
      <c r="I46" s="37">
        <f>IF(COUNTIF(D42:D43,"PLEASE CHECK")&gt;0,0,IF(C43&gt;C42,IF(C43/C33&gt;0.01,D46,0),0))</f>
        <v>0</v>
      </c>
      <c r="J46" s="37">
        <v>1</v>
      </c>
      <c r="K46" s="37">
        <v>1</v>
      </c>
      <c r="L46" s="37">
        <v>1</v>
      </c>
      <c r="M46" s="37">
        <v>1</v>
      </c>
    </row>
    <row r="47" spans="1:13" ht="45" x14ac:dyDescent="0.25">
      <c r="A47" s="17" t="s">
        <v>130</v>
      </c>
      <c r="B47" s="51" t="s">
        <v>583</v>
      </c>
      <c r="C47" s="38">
        <v>0</v>
      </c>
      <c r="D47" s="47">
        <f>IF(C47&gt;C43,"PLEASE CHECK",1)</f>
        <v>1</v>
      </c>
      <c r="E47" s="37">
        <f t="shared" ref="E47" si="32">IF(J47=1,$I47," ")</f>
        <v>0</v>
      </c>
      <c r="F47" s="37">
        <f t="shared" ref="F47" si="33">IF(K47=1,$I47," ")</f>
        <v>0</v>
      </c>
      <c r="G47" s="37">
        <f t="shared" ref="G47" si="34">IF(L47=1,$I47," ")</f>
        <v>0</v>
      </c>
      <c r="H47" s="37">
        <f t="shared" ref="H47" si="35">IF(M47=1,$I47," ")</f>
        <v>0</v>
      </c>
      <c r="I47" s="37">
        <f>IF(COUNTIF(D42:D47,"PLEASE CHECK")&gt;0,0,IF(C47&gt;0,D47,0))</f>
        <v>0</v>
      </c>
      <c r="J47" s="37">
        <v>1</v>
      </c>
      <c r="K47" s="37">
        <v>1</v>
      </c>
      <c r="L47" s="37">
        <v>1</v>
      </c>
      <c r="M47" s="37">
        <v>1</v>
      </c>
    </row>
    <row r="48" spans="1:13" x14ac:dyDescent="0.25">
      <c r="A48" s="17"/>
      <c r="B48" s="51"/>
      <c r="C48" s="37"/>
      <c r="D48" s="47"/>
      <c r="E48" s="37"/>
      <c r="F48" s="37"/>
      <c r="G48" s="37"/>
      <c r="H48" s="37"/>
      <c r="I48" s="37"/>
      <c r="J48" s="37"/>
      <c r="K48" s="37"/>
      <c r="L48" s="37"/>
      <c r="M48" s="37"/>
    </row>
    <row r="49" spans="1:13" ht="18.75" x14ac:dyDescent="0.25">
      <c r="A49" s="54" t="s">
        <v>131</v>
      </c>
      <c r="B49" s="55" t="s">
        <v>132</v>
      </c>
      <c r="C49" s="45"/>
      <c r="D49" s="46"/>
      <c r="E49" s="64">
        <f>SUM(E50:E88)</f>
        <v>8</v>
      </c>
      <c r="F49" s="64">
        <f t="shared" ref="F49:H49" si="36">SUM(F50:F88)</f>
        <v>6</v>
      </c>
      <c r="G49" s="64">
        <f t="shared" si="36"/>
        <v>6</v>
      </c>
      <c r="H49" s="64">
        <f t="shared" si="36"/>
        <v>6</v>
      </c>
      <c r="I49" s="45"/>
      <c r="J49" s="45"/>
      <c r="K49" s="45"/>
      <c r="L49" s="45"/>
      <c r="M49" s="45"/>
    </row>
    <row r="50" spans="1:13" x14ac:dyDescent="0.25">
      <c r="A50" s="65" t="s">
        <v>133</v>
      </c>
      <c r="B50" s="66" t="s">
        <v>134</v>
      </c>
      <c r="C50" s="37"/>
      <c r="D50" s="47"/>
      <c r="E50" s="37" t="str">
        <f t="shared" ref="E50" si="37">IF(J50=1,$I50," ")</f>
        <v xml:space="preserve"> </v>
      </c>
      <c r="F50" s="37" t="str">
        <f t="shared" ref="F50" si="38">IF(K50=1,$I50," ")</f>
        <v xml:space="preserve"> </v>
      </c>
      <c r="G50" s="37" t="str">
        <f t="shared" ref="G50" si="39">IF(L50=1,$I50," ")</f>
        <v xml:space="preserve"> </v>
      </c>
      <c r="H50" s="37" t="str">
        <f t="shared" ref="H50" si="40">IF(M50=1,$I50," ")</f>
        <v xml:space="preserve"> </v>
      </c>
      <c r="I50" s="37"/>
      <c r="J50" s="37"/>
      <c r="K50" s="37"/>
      <c r="L50" s="37"/>
      <c r="M50" s="37"/>
    </row>
    <row r="51" spans="1:13" ht="45" x14ac:dyDescent="0.25">
      <c r="A51" s="17" t="s">
        <v>135</v>
      </c>
      <c r="B51" s="51" t="s">
        <v>136</v>
      </c>
      <c r="C51" s="38" t="s">
        <v>100</v>
      </c>
      <c r="D51" s="47">
        <v>2</v>
      </c>
      <c r="E51" s="37">
        <f t="shared" ref="E51:E64" si="41">IF(J51=1,$I51," ")</f>
        <v>0</v>
      </c>
      <c r="F51" s="37">
        <f t="shared" ref="F51:F64" si="42">IF(K51=1,$I51," ")</f>
        <v>0</v>
      </c>
      <c r="G51" s="37">
        <f t="shared" ref="G51:G64" si="43">IF(L51=1,$I51," ")</f>
        <v>0</v>
      </c>
      <c r="H51" s="37">
        <f t="shared" ref="H51:H64" si="44">IF(M51=1,$I51," ")</f>
        <v>0</v>
      </c>
      <c r="I51" s="37">
        <f t="shared" ref="I51:I52" si="45">IF(C51="Y",D51,0)</f>
        <v>0</v>
      </c>
      <c r="J51" s="37">
        <v>1</v>
      </c>
      <c r="K51" s="37">
        <v>1</v>
      </c>
      <c r="L51" s="37">
        <v>1</v>
      </c>
      <c r="M51" s="37">
        <v>1</v>
      </c>
    </row>
    <row r="52" spans="1:13" ht="30" x14ac:dyDescent="0.25">
      <c r="A52" s="17" t="s">
        <v>137</v>
      </c>
      <c r="B52" s="51" t="s">
        <v>138</v>
      </c>
      <c r="C52" s="38" t="s">
        <v>100</v>
      </c>
      <c r="D52" s="47">
        <v>1</v>
      </c>
      <c r="E52" s="37">
        <f t="shared" si="41"/>
        <v>0</v>
      </c>
      <c r="F52" s="37">
        <f t="shared" si="42"/>
        <v>0</v>
      </c>
      <c r="G52" s="37">
        <f t="shared" si="43"/>
        <v>0</v>
      </c>
      <c r="H52" s="37">
        <f t="shared" si="44"/>
        <v>0</v>
      </c>
      <c r="I52" s="37">
        <f t="shared" si="45"/>
        <v>0</v>
      </c>
      <c r="J52" s="37">
        <v>1</v>
      </c>
      <c r="K52" s="37">
        <v>1</v>
      </c>
      <c r="L52" s="37">
        <v>1</v>
      </c>
      <c r="M52" s="37">
        <v>1</v>
      </c>
    </row>
    <row r="53" spans="1:13" x14ac:dyDescent="0.25">
      <c r="A53" s="65" t="s">
        <v>139</v>
      </c>
      <c r="B53" s="66" t="s">
        <v>140</v>
      </c>
      <c r="C53" s="37"/>
      <c r="D53" s="47"/>
      <c r="E53" s="37" t="str">
        <f t="shared" si="41"/>
        <v xml:space="preserve"> </v>
      </c>
      <c r="F53" s="37" t="str">
        <f t="shared" si="42"/>
        <v xml:space="preserve"> </v>
      </c>
      <c r="G53" s="37" t="str">
        <f t="shared" si="43"/>
        <v xml:space="preserve"> </v>
      </c>
      <c r="H53" s="37" t="str">
        <f t="shared" si="44"/>
        <v xml:space="preserve"> </v>
      </c>
      <c r="I53" s="37"/>
      <c r="J53" s="37"/>
      <c r="K53" s="37"/>
      <c r="L53" s="37"/>
      <c r="M53" s="37"/>
    </row>
    <row r="54" spans="1:13" ht="60" x14ac:dyDescent="0.25">
      <c r="A54" s="17" t="s">
        <v>141</v>
      </c>
      <c r="B54" s="52" t="s">
        <v>142</v>
      </c>
      <c r="C54" s="38" t="s">
        <v>143</v>
      </c>
      <c r="D54" s="47">
        <v>2</v>
      </c>
      <c r="E54" s="37">
        <f t="shared" si="41"/>
        <v>2</v>
      </c>
      <c r="F54" s="37">
        <f t="shared" si="42"/>
        <v>2</v>
      </c>
      <c r="G54" s="37">
        <f t="shared" si="43"/>
        <v>2</v>
      </c>
      <c r="H54" s="37">
        <f t="shared" si="44"/>
        <v>2</v>
      </c>
      <c r="I54" s="37">
        <f t="shared" ref="I54:I56" si="46">IF(C54="Y",D54,0)</f>
        <v>2</v>
      </c>
      <c r="J54" s="37">
        <v>1</v>
      </c>
      <c r="K54" s="37">
        <v>1</v>
      </c>
      <c r="L54" s="37">
        <v>1</v>
      </c>
      <c r="M54" s="37">
        <v>1</v>
      </c>
    </row>
    <row r="55" spans="1:13" ht="60" x14ac:dyDescent="0.25">
      <c r="A55" s="17" t="s">
        <v>144</v>
      </c>
      <c r="B55" s="52" t="s">
        <v>145</v>
      </c>
      <c r="C55" s="38" t="s">
        <v>100</v>
      </c>
      <c r="D55" s="47">
        <v>1</v>
      </c>
      <c r="E55" s="37">
        <f t="shared" si="41"/>
        <v>0</v>
      </c>
      <c r="F55" s="37">
        <f t="shared" si="42"/>
        <v>0</v>
      </c>
      <c r="G55" s="37">
        <f t="shared" si="43"/>
        <v>0</v>
      </c>
      <c r="H55" s="37">
        <f t="shared" si="44"/>
        <v>0</v>
      </c>
      <c r="I55" s="37">
        <f t="shared" si="46"/>
        <v>0</v>
      </c>
      <c r="J55" s="37">
        <v>1</v>
      </c>
      <c r="K55" s="37">
        <v>1</v>
      </c>
      <c r="L55" s="37">
        <v>1</v>
      </c>
      <c r="M55" s="37">
        <v>1</v>
      </c>
    </row>
    <row r="56" spans="1:13" ht="45" x14ac:dyDescent="0.25">
      <c r="A56" s="17" t="s">
        <v>146</v>
      </c>
      <c r="B56" s="52" t="s">
        <v>147</v>
      </c>
      <c r="C56" s="38" t="s">
        <v>100</v>
      </c>
      <c r="D56" s="47">
        <v>2</v>
      </c>
      <c r="E56" s="37">
        <f t="shared" si="41"/>
        <v>0</v>
      </c>
      <c r="F56" s="37">
        <f t="shared" si="42"/>
        <v>0</v>
      </c>
      <c r="G56" s="37">
        <f t="shared" si="43"/>
        <v>0</v>
      </c>
      <c r="H56" s="37">
        <f t="shared" si="44"/>
        <v>0</v>
      </c>
      <c r="I56" s="37">
        <f t="shared" si="46"/>
        <v>0</v>
      </c>
      <c r="J56" s="37">
        <v>1</v>
      </c>
      <c r="K56" s="37">
        <v>1</v>
      </c>
      <c r="L56" s="37">
        <v>1</v>
      </c>
      <c r="M56" s="37">
        <v>1</v>
      </c>
    </row>
    <row r="57" spans="1:13" x14ac:dyDescent="0.25">
      <c r="A57" s="65" t="s">
        <v>148</v>
      </c>
      <c r="B57" s="66" t="s">
        <v>149</v>
      </c>
      <c r="C57" s="37"/>
      <c r="D57" s="47"/>
      <c r="E57" s="37" t="str">
        <f t="shared" si="41"/>
        <v xml:space="preserve"> </v>
      </c>
      <c r="F57" s="37" t="str">
        <f t="shared" si="42"/>
        <v xml:space="preserve"> </v>
      </c>
      <c r="G57" s="37" t="str">
        <f t="shared" si="43"/>
        <v xml:space="preserve"> </v>
      </c>
      <c r="H57" s="37" t="str">
        <f t="shared" si="44"/>
        <v xml:space="preserve"> </v>
      </c>
      <c r="I57" s="37"/>
      <c r="J57" s="37"/>
      <c r="K57" s="37"/>
      <c r="L57" s="37"/>
      <c r="M57" s="37"/>
    </row>
    <row r="58" spans="1:13" ht="45" x14ac:dyDescent="0.25">
      <c r="A58" s="17" t="s">
        <v>150</v>
      </c>
      <c r="B58" s="51" t="s">
        <v>561</v>
      </c>
      <c r="C58" s="38" t="s">
        <v>143</v>
      </c>
      <c r="D58" s="47">
        <v>2</v>
      </c>
      <c r="E58" s="37">
        <f t="shared" si="41"/>
        <v>2</v>
      </c>
      <c r="F58" s="37">
        <f t="shared" si="42"/>
        <v>2</v>
      </c>
      <c r="G58" s="37">
        <f t="shared" si="43"/>
        <v>2</v>
      </c>
      <c r="H58" s="37">
        <f t="shared" si="44"/>
        <v>2</v>
      </c>
      <c r="I58" s="37">
        <f t="shared" ref="I58:I72" si="47">IF(C58="Y",D58,0)</f>
        <v>2</v>
      </c>
      <c r="J58" s="37">
        <v>1</v>
      </c>
      <c r="K58" s="37">
        <v>1</v>
      </c>
      <c r="L58" s="37">
        <v>1</v>
      </c>
      <c r="M58" s="37">
        <v>1</v>
      </c>
    </row>
    <row r="59" spans="1:13" ht="30" x14ac:dyDescent="0.25">
      <c r="A59" s="17" t="s">
        <v>151</v>
      </c>
      <c r="B59" s="51" t="s">
        <v>152</v>
      </c>
      <c r="C59" s="38" t="s">
        <v>100</v>
      </c>
      <c r="D59" s="47">
        <v>1</v>
      </c>
      <c r="E59" s="37" t="str">
        <f t="shared" si="41"/>
        <v xml:space="preserve"> </v>
      </c>
      <c r="F59" s="37" t="str">
        <f t="shared" si="42"/>
        <v xml:space="preserve"> </v>
      </c>
      <c r="G59" s="37">
        <f t="shared" si="43"/>
        <v>0</v>
      </c>
      <c r="H59" s="37" t="str">
        <f t="shared" si="44"/>
        <v xml:space="preserve"> </v>
      </c>
      <c r="I59" s="37">
        <f t="shared" si="47"/>
        <v>0</v>
      </c>
      <c r="J59" s="37"/>
      <c r="K59" s="37"/>
      <c r="L59" s="37">
        <v>1</v>
      </c>
      <c r="M59" s="37"/>
    </row>
    <row r="60" spans="1:13" ht="30" x14ac:dyDescent="0.25">
      <c r="A60" s="17" t="s">
        <v>153</v>
      </c>
      <c r="B60" s="51" t="s">
        <v>154</v>
      </c>
      <c r="C60" s="38" t="s">
        <v>100</v>
      </c>
      <c r="D60" s="47">
        <v>1</v>
      </c>
      <c r="E60" s="37">
        <f t="shared" si="41"/>
        <v>0</v>
      </c>
      <c r="F60" s="37" t="str">
        <f t="shared" si="42"/>
        <v xml:space="preserve"> </v>
      </c>
      <c r="G60" s="37" t="str">
        <f t="shared" si="43"/>
        <v xml:space="preserve"> </v>
      </c>
      <c r="H60" s="37" t="str">
        <f t="shared" si="44"/>
        <v xml:space="preserve"> </v>
      </c>
      <c r="I60" s="37">
        <f t="shared" si="47"/>
        <v>0</v>
      </c>
      <c r="J60" s="37">
        <v>1</v>
      </c>
      <c r="K60" s="37"/>
      <c r="L60" s="37"/>
      <c r="M60" s="37"/>
    </row>
    <row r="61" spans="1:13" ht="30" x14ac:dyDescent="0.25">
      <c r="A61" s="17" t="s">
        <v>155</v>
      </c>
      <c r="B61" s="51" t="s">
        <v>156</v>
      </c>
      <c r="C61" s="38" t="s">
        <v>100</v>
      </c>
      <c r="D61" s="47">
        <v>1</v>
      </c>
      <c r="E61" s="37">
        <f t="shared" si="41"/>
        <v>0</v>
      </c>
      <c r="F61" s="37">
        <f t="shared" si="42"/>
        <v>0</v>
      </c>
      <c r="G61" s="37">
        <f t="shared" si="43"/>
        <v>0</v>
      </c>
      <c r="H61" s="37">
        <f t="shared" si="44"/>
        <v>0</v>
      </c>
      <c r="I61" s="37">
        <f t="shared" si="47"/>
        <v>0</v>
      </c>
      <c r="J61" s="37">
        <v>1</v>
      </c>
      <c r="K61" s="37">
        <v>1</v>
      </c>
      <c r="L61" s="37">
        <v>1</v>
      </c>
      <c r="M61" s="37">
        <v>1</v>
      </c>
    </row>
    <row r="62" spans="1:13" x14ac:dyDescent="0.25">
      <c r="A62" s="65" t="s">
        <v>157</v>
      </c>
      <c r="B62" s="66" t="s">
        <v>158</v>
      </c>
      <c r="C62" s="37"/>
      <c r="D62" s="47"/>
      <c r="E62" s="37" t="str">
        <f t="shared" si="41"/>
        <v xml:space="preserve"> </v>
      </c>
      <c r="F62" s="37" t="str">
        <f t="shared" si="42"/>
        <v xml:space="preserve"> </v>
      </c>
      <c r="G62" s="37" t="str">
        <f t="shared" si="43"/>
        <v xml:space="preserve"> </v>
      </c>
      <c r="H62" s="37" t="str">
        <f t="shared" si="44"/>
        <v xml:space="preserve"> </v>
      </c>
      <c r="I62" s="37"/>
      <c r="J62" s="37"/>
      <c r="K62" s="37"/>
      <c r="L62" s="37"/>
      <c r="M62" s="37"/>
    </row>
    <row r="63" spans="1:13" ht="75" x14ac:dyDescent="0.25">
      <c r="A63" s="17" t="s">
        <v>159</v>
      </c>
      <c r="B63" s="51" t="s">
        <v>562</v>
      </c>
      <c r="C63" s="38" t="s">
        <v>143</v>
      </c>
      <c r="D63" s="47">
        <v>2</v>
      </c>
      <c r="E63" s="37">
        <f t="shared" si="41"/>
        <v>2</v>
      </c>
      <c r="F63" s="37">
        <f t="shared" si="42"/>
        <v>2</v>
      </c>
      <c r="G63" s="37">
        <f t="shared" si="43"/>
        <v>2</v>
      </c>
      <c r="H63" s="37">
        <f t="shared" si="44"/>
        <v>2</v>
      </c>
      <c r="I63" s="37">
        <f t="shared" si="47"/>
        <v>2</v>
      </c>
      <c r="J63" s="37">
        <v>1</v>
      </c>
      <c r="K63" s="37">
        <v>1</v>
      </c>
      <c r="L63" s="37">
        <v>1</v>
      </c>
      <c r="M63" s="37">
        <v>1</v>
      </c>
    </row>
    <row r="64" spans="1:13" ht="60" x14ac:dyDescent="0.25">
      <c r="A64" s="17" t="s">
        <v>160</v>
      </c>
      <c r="B64" s="51" t="s">
        <v>161</v>
      </c>
      <c r="C64" s="38" t="s">
        <v>100</v>
      </c>
      <c r="D64" s="47">
        <v>1</v>
      </c>
      <c r="E64" s="37">
        <f t="shared" si="41"/>
        <v>0</v>
      </c>
      <c r="F64" s="37">
        <f t="shared" si="42"/>
        <v>0</v>
      </c>
      <c r="G64" s="37">
        <f t="shared" si="43"/>
        <v>0</v>
      </c>
      <c r="H64" s="37">
        <f t="shared" si="44"/>
        <v>0</v>
      </c>
      <c r="I64" s="37">
        <f t="shared" si="47"/>
        <v>0</v>
      </c>
      <c r="J64" s="37">
        <v>1</v>
      </c>
      <c r="K64" s="37">
        <v>1</v>
      </c>
      <c r="L64" s="37">
        <v>1</v>
      </c>
      <c r="M64" s="37">
        <v>1</v>
      </c>
    </row>
    <row r="65" spans="1:13" ht="30" x14ac:dyDescent="0.25">
      <c r="A65" s="17" t="s">
        <v>162</v>
      </c>
      <c r="B65" s="51" t="s">
        <v>163</v>
      </c>
      <c r="C65" s="38" t="s">
        <v>100</v>
      </c>
      <c r="D65" s="47">
        <v>1</v>
      </c>
      <c r="E65" s="37">
        <f t="shared" ref="E65:E67" si="48">IF(J65=1,$I65," ")</f>
        <v>0</v>
      </c>
      <c r="F65" s="37">
        <f t="shared" ref="F65:F67" si="49">IF(K65=1,$I65," ")</f>
        <v>0</v>
      </c>
      <c r="G65" s="37">
        <f t="shared" ref="G65:G67" si="50">IF(L65=1,$I65," ")</f>
        <v>0</v>
      </c>
      <c r="H65" s="37">
        <f t="shared" ref="H65:H67" si="51">IF(M65=1,$I65," ")</f>
        <v>0</v>
      </c>
      <c r="I65" s="37">
        <f t="shared" si="47"/>
        <v>0</v>
      </c>
      <c r="J65" s="37">
        <v>1</v>
      </c>
      <c r="K65" s="37">
        <v>1</v>
      </c>
      <c r="L65" s="37">
        <v>1</v>
      </c>
      <c r="M65" s="37">
        <v>1</v>
      </c>
    </row>
    <row r="66" spans="1:13" ht="30" x14ac:dyDescent="0.25">
      <c r="A66" s="17" t="s">
        <v>164</v>
      </c>
      <c r="B66" s="51" t="s">
        <v>152</v>
      </c>
      <c r="C66" s="38" t="s">
        <v>100</v>
      </c>
      <c r="D66" s="47">
        <v>1</v>
      </c>
      <c r="E66" s="37" t="str">
        <f t="shared" si="48"/>
        <v xml:space="preserve"> </v>
      </c>
      <c r="F66" s="37" t="str">
        <f t="shared" si="49"/>
        <v xml:space="preserve"> </v>
      </c>
      <c r="G66" s="37">
        <f t="shared" si="50"/>
        <v>0</v>
      </c>
      <c r="H66" s="37" t="str">
        <f t="shared" si="51"/>
        <v xml:space="preserve"> </v>
      </c>
      <c r="I66" s="37">
        <f t="shared" si="47"/>
        <v>0</v>
      </c>
      <c r="J66" s="37"/>
      <c r="K66" s="37"/>
      <c r="L66" s="37">
        <v>1</v>
      </c>
      <c r="M66" s="37"/>
    </row>
    <row r="67" spans="1:13" ht="45" x14ac:dyDescent="0.25">
      <c r="A67" s="17" t="s">
        <v>165</v>
      </c>
      <c r="B67" s="51" t="s">
        <v>166</v>
      </c>
      <c r="C67" s="38" t="s">
        <v>100</v>
      </c>
      <c r="D67" s="47">
        <v>1</v>
      </c>
      <c r="E67" s="37">
        <f t="shared" si="48"/>
        <v>0</v>
      </c>
      <c r="F67" s="37" t="str">
        <f t="shared" si="49"/>
        <v xml:space="preserve"> </v>
      </c>
      <c r="G67" s="37" t="str">
        <f t="shared" si="50"/>
        <v xml:space="preserve"> </v>
      </c>
      <c r="H67" s="37" t="str">
        <f t="shared" si="51"/>
        <v xml:space="preserve"> </v>
      </c>
      <c r="I67" s="37">
        <f t="shared" si="47"/>
        <v>0</v>
      </c>
      <c r="J67" s="37">
        <v>1</v>
      </c>
      <c r="K67" s="37"/>
      <c r="L67" s="37"/>
      <c r="M67" s="37"/>
    </row>
    <row r="68" spans="1:13" x14ac:dyDescent="0.25">
      <c r="A68" s="65" t="s">
        <v>167</v>
      </c>
      <c r="B68" s="66" t="s">
        <v>168</v>
      </c>
      <c r="C68" s="37"/>
      <c r="D68" s="47"/>
      <c r="E68" s="37" t="str">
        <f t="shared" ref="E68:E73" si="52">IF(J68=1,$I68," ")</f>
        <v xml:space="preserve"> </v>
      </c>
      <c r="F68" s="37" t="str">
        <f t="shared" ref="F68:F73" si="53">IF(K68=1,$I68," ")</f>
        <v xml:space="preserve"> </v>
      </c>
      <c r="G68" s="37" t="str">
        <f t="shared" ref="G68:G73" si="54">IF(L68=1,$I68," ")</f>
        <v xml:space="preserve"> </v>
      </c>
      <c r="H68" s="37" t="str">
        <f t="shared" ref="H68:H73" si="55">IF(M68=1,$I68," ")</f>
        <v xml:space="preserve"> </v>
      </c>
      <c r="I68" s="37"/>
      <c r="J68" s="37"/>
      <c r="K68" s="37"/>
      <c r="L68" s="37"/>
      <c r="M68" s="37"/>
    </row>
    <row r="69" spans="1:13" ht="60" x14ac:dyDescent="0.25">
      <c r="A69" s="17" t="s">
        <v>169</v>
      </c>
      <c r="B69" s="51" t="s">
        <v>170</v>
      </c>
      <c r="C69" s="38" t="s">
        <v>100</v>
      </c>
      <c r="D69" s="47">
        <v>1</v>
      </c>
      <c r="E69" s="37">
        <f t="shared" si="52"/>
        <v>0</v>
      </c>
      <c r="F69" s="37">
        <f t="shared" si="53"/>
        <v>0</v>
      </c>
      <c r="G69" s="37">
        <f t="shared" si="54"/>
        <v>0</v>
      </c>
      <c r="H69" s="37">
        <f t="shared" si="55"/>
        <v>0</v>
      </c>
      <c r="I69" s="37">
        <f t="shared" si="47"/>
        <v>0</v>
      </c>
      <c r="J69" s="37">
        <v>1</v>
      </c>
      <c r="K69" s="37">
        <v>1</v>
      </c>
      <c r="L69" s="37">
        <v>1</v>
      </c>
      <c r="M69" s="37">
        <v>1</v>
      </c>
    </row>
    <row r="70" spans="1:13" ht="30" x14ac:dyDescent="0.25">
      <c r="A70" s="17" t="s">
        <v>171</v>
      </c>
      <c r="B70" s="51" t="s">
        <v>172</v>
      </c>
      <c r="C70" s="38" t="s">
        <v>100</v>
      </c>
      <c r="D70" s="47">
        <v>0.5</v>
      </c>
      <c r="E70" s="37">
        <f t="shared" si="52"/>
        <v>0</v>
      </c>
      <c r="F70" s="37">
        <f t="shared" si="53"/>
        <v>0</v>
      </c>
      <c r="G70" s="37">
        <f t="shared" si="54"/>
        <v>0</v>
      </c>
      <c r="H70" s="37">
        <f t="shared" si="55"/>
        <v>0</v>
      </c>
      <c r="I70" s="37">
        <f t="shared" si="47"/>
        <v>0</v>
      </c>
      <c r="J70" s="37">
        <v>1</v>
      </c>
      <c r="K70" s="37">
        <v>1</v>
      </c>
      <c r="L70" s="37">
        <v>1</v>
      </c>
      <c r="M70" s="37">
        <v>1</v>
      </c>
    </row>
    <row r="71" spans="1:13" ht="45" x14ac:dyDescent="0.25">
      <c r="A71" s="17" t="s">
        <v>173</v>
      </c>
      <c r="B71" s="51" t="s">
        <v>174</v>
      </c>
      <c r="C71" s="38" t="s">
        <v>100</v>
      </c>
      <c r="D71" s="47">
        <v>0.5</v>
      </c>
      <c r="E71" s="37">
        <f t="shared" si="52"/>
        <v>0</v>
      </c>
      <c r="F71" s="37">
        <f t="shared" si="53"/>
        <v>0</v>
      </c>
      <c r="G71" s="37">
        <f t="shared" si="54"/>
        <v>0</v>
      </c>
      <c r="H71" s="37">
        <f t="shared" si="55"/>
        <v>0</v>
      </c>
      <c r="I71" s="37">
        <f t="shared" si="47"/>
        <v>0</v>
      </c>
      <c r="J71" s="37">
        <v>1</v>
      </c>
      <c r="K71" s="37">
        <v>1</v>
      </c>
      <c r="L71" s="37">
        <v>1</v>
      </c>
      <c r="M71" s="37">
        <v>1</v>
      </c>
    </row>
    <row r="72" spans="1:13" ht="45" x14ac:dyDescent="0.25">
      <c r="A72" s="17" t="s">
        <v>175</v>
      </c>
      <c r="B72" s="51" t="s">
        <v>176</v>
      </c>
      <c r="C72" s="38" t="s">
        <v>100</v>
      </c>
      <c r="D72" s="47">
        <v>1</v>
      </c>
      <c r="E72" s="37">
        <f t="shared" si="52"/>
        <v>0</v>
      </c>
      <c r="F72" s="37">
        <f t="shared" si="53"/>
        <v>0</v>
      </c>
      <c r="G72" s="37">
        <f t="shared" si="54"/>
        <v>0</v>
      </c>
      <c r="H72" s="37">
        <f t="shared" si="55"/>
        <v>0</v>
      </c>
      <c r="I72" s="37">
        <f t="shared" si="47"/>
        <v>0</v>
      </c>
      <c r="J72" s="37">
        <v>1</v>
      </c>
      <c r="K72" s="37">
        <v>1</v>
      </c>
      <c r="L72" s="37">
        <v>1</v>
      </c>
      <c r="M72" s="37">
        <v>1</v>
      </c>
    </row>
    <row r="73" spans="1:13" x14ac:dyDescent="0.25">
      <c r="A73" s="65" t="s">
        <v>177</v>
      </c>
      <c r="B73" s="66" t="s">
        <v>178</v>
      </c>
      <c r="C73" s="37"/>
      <c r="D73" s="47"/>
      <c r="E73" s="37" t="str">
        <f t="shared" si="52"/>
        <v xml:space="preserve"> </v>
      </c>
      <c r="F73" s="37" t="str">
        <f t="shared" si="53"/>
        <v xml:space="preserve"> </v>
      </c>
      <c r="G73" s="37" t="str">
        <f t="shared" si="54"/>
        <v xml:space="preserve"> </v>
      </c>
      <c r="H73" s="37" t="str">
        <f t="shared" si="55"/>
        <v xml:space="preserve"> </v>
      </c>
      <c r="I73" s="37"/>
      <c r="J73" s="37"/>
      <c r="K73" s="37"/>
      <c r="L73" s="37"/>
      <c r="M73" s="37"/>
    </row>
    <row r="74" spans="1:13" ht="30" x14ac:dyDescent="0.25">
      <c r="A74" s="17" t="s">
        <v>179</v>
      </c>
      <c r="B74" s="51" t="s">
        <v>180</v>
      </c>
      <c r="C74" s="38">
        <v>0</v>
      </c>
      <c r="D74" s="47"/>
      <c r="E74" s="37" t="str">
        <f t="shared" ref="E74:E82" si="56">IF(J74=1,$I74," ")</f>
        <v xml:space="preserve"> </v>
      </c>
      <c r="F74" s="37" t="str">
        <f t="shared" ref="F74:F82" si="57">IF(K74=1,$I74," ")</f>
        <v xml:space="preserve"> </v>
      </c>
      <c r="G74" s="37" t="str">
        <f t="shared" ref="G74:G82" si="58">IF(L74=1,$I74," ")</f>
        <v xml:space="preserve"> </v>
      </c>
      <c r="H74" s="37" t="str">
        <f t="shared" ref="H74:H82" si="59">IF(M74=1,$I74," ")</f>
        <v xml:space="preserve"> </v>
      </c>
      <c r="I74" s="37"/>
      <c r="J74" s="37"/>
      <c r="K74" s="37"/>
      <c r="L74" s="37"/>
      <c r="M74" s="37"/>
    </row>
    <row r="75" spans="1:13" ht="30.75" customHeight="1" x14ac:dyDescent="0.25">
      <c r="A75" s="17" t="s">
        <v>181</v>
      </c>
      <c r="B75" s="51" t="s">
        <v>182</v>
      </c>
      <c r="C75" s="38">
        <v>0</v>
      </c>
      <c r="D75" s="48" t="str">
        <f>IF(C75&gt;C74,"PLEASE CHECK","")</f>
        <v/>
      </c>
      <c r="E75" s="37" t="str">
        <f t="shared" si="56"/>
        <v xml:space="preserve"> </v>
      </c>
      <c r="F75" s="37" t="str">
        <f t="shared" si="57"/>
        <v xml:space="preserve"> </v>
      </c>
      <c r="G75" s="37" t="str">
        <f t="shared" si="58"/>
        <v xml:space="preserve"> </v>
      </c>
      <c r="H75" s="37" t="str">
        <f t="shared" si="59"/>
        <v xml:space="preserve"> </v>
      </c>
      <c r="I75" s="37"/>
      <c r="J75" s="37"/>
      <c r="K75" s="37"/>
      <c r="L75" s="37"/>
      <c r="M75" s="37"/>
    </row>
    <row r="76" spans="1:13" ht="30" x14ac:dyDescent="0.25">
      <c r="A76" s="17" t="s">
        <v>183</v>
      </c>
      <c r="B76" s="51" t="s">
        <v>184</v>
      </c>
      <c r="C76" s="38">
        <v>0</v>
      </c>
      <c r="D76" s="48" t="str">
        <f>IF(C76&lt;C75,"PLEASE CHECK",IF(C76&gt;C74,"PLEASE CHECK",""))</f>
        <v/>
      </c>
      <c r="E76" s="37" t="str">
        <f t="shared" si="56"/>
        <v xml:space="preserve"> </v>
      </c>
      <c r="F76" s="37" t="str">
        <f t="shared" si="57"/>
        <v xml:space="preserve"> </v>
      </c>
      <c r="G76" s="37" t="str">
        <f t="shared" si="58"/>
        <v xml:space="preserve"> </v>
      </c>
      <c r="H76" s="37" t="str">
        <f t="shared" si="59"/>
        <v xml:space="preserve"> </v>
      </c>
      <c r="I76" s="37"/>
      <c r="J76" s="37"/>
      <c r="K76" s="37"/>
      <c r="L76" s="37"/>
      <c r="M76" s="37"/>
    </row>
    <row r="77" spans="1:13" x14ac:dyDescent="0.25">
      <c r="A77" s="17"/>
      <c r="B77" s="52" t="s">
        <v>88</v>
      </c>
      <c r="C77" s="37"/>
      <c r="D77" s="47">
        <v>2</v>
      </c>
      <c r="E77" s="37">
        <f t="shared" si="56"/>
        <v>2</v>
      </c>
      <c r="F77" s="37" t="str">
        <f t="shared" si="57"/>
        <v xml:space="preserve"> </v>
      </c>
      <c r="G77" s="37" t="str">
        <f t="shared" si="58"/>
        <v xml:space="preserve"> </v>
      </c>
      <c r="H77" s="37" t="str">
        <f t="shared" si="59"/>
        <v xml:space="preserve"> </v>
      </c>
      <c r="I77" s="37">
        <f>IF(COUNTIF(D75:D76,"PLEASE CHECK")&gt;0,0,IF(C76&gt;=C75,D77,0))</f>
        <v>2</v>
      </c>
      <c r="J77" s="37">
        <v>1</v>
      </c>
      <c r="K77" s="37"/>
      <c r="L77" s="37"/>
      <c r="M77" s="37"/>
    </row>
    <row r="78" spans="1:13" ht="45" x14ac:dyDescent="0.25">
      <c r="A78" s="17"/>
      <c r="B78" s="52" t="s">
        <v>185</v>
      </c>
      <c r="C78" s="37"/>
      <c r="D78" s="47">
        <v>2</v>
      </c>
      <c r="E78" s="37">
        <f t="shared" si="56"/>
        <v>0</v>
      </c>
      <c r="F78" s="37">
        <f t="shared" si="57"/>
        <v>0</v>
      </c>
      <c r="G78" s="37">
        <f t="shared" si="58"/>
        <v>0</v>
      </c>
      <c r="H78" s="37">
        <f t="shared" si="59"/>
        <v>0</v>
      </c>
      <c r="I78" s="37">
        <f>IF(COUNTIF(D75:D76,"PLEASE CHECK")&gt;0,0,IF(C76&gt;0,IF(C76=C74,D78,0),0))</f>
        <v>0</v>
      </c>
      <c r="J78" s="37">
        <v>1</v>
      </c>
      <c r="K78" s="37">
        <v>1</v>
      </c>
      <c r="L78" s="37">
        <v>1</v>
      </c>
      <c r="M78" s="37">
        <v>1</v>
      </c>
    </row>
    <row r="79" spans="1:13" ht="30" x14ac:dyDescent="0.25">
      <c r="A79" s="17" t="s">
        <v>186</v>
      </c>
      <c r="B79" s="51" t="s">
        <v>187</v>
      </c>
      <c r="C79" s="38" t="s">
        <v>100</v>
      </c>
      <c r="D79" s="47">
        <v>1</v>
      </c>
      <c r="E79" s="37" t="str">
        <f t="shared" si="56"/>
        <v xml:space="preserve"> </v>
      </c>
      <c r="F79" s="37">
        <f t="shared" si="57"/>
        <v>0</v>
      </c>
      <c r="G79" s="37" t="str">
        <f t="shared" si="58"/>
        <v xml:space="preserve"> </v>
      </c>
      <c r="H79" s="37">
        <f t="shared" si="59"/>
        <v>0</v>
      </c>
      <c r="I79" s="37">
        <f t="shared" ref="I79:I87" si="60">IF(C79="Y",D79,0)</f>
        <v>0</v>
      </c>
      <c r="J79" s="37"/>
      <c r="K79" s="37">
        <v>1</v>
      </c>
      <c r="L79" s="37"/>
      <c r="M79" s="37">
        <v>1</v>
      </c>
    </row>
    <row r="80" spans="1:13" ht="30" x14ac:dyDescent="0.25">
      <c r="A80" s="17" t="s">
        <v>188</v>
      </c>
      <c r="B80" s="51" t="s">
        <v>189</v>
      </c>
      <c r="C80" s="38" t="s">
        <v>100</v>
      </c>
      <c r="D80" s="47">
        <v>1</v>
      </c>
      <c r="E80" s="37">
        <f t="shared" si="56"/>
        <v>0</v>
      </c>
      <c r="F80" s="37">
        <f t="shared" si="57"/>
        <v>0</v>
      </c>
      <c r="G80" s="37">
        <f t="shared" si="58"/>
        <v>0</v>
      </c>
      <c r="H80" s="37">
        <f t="shared" si="59"/>
        <v>0</v>
      </c>
      <c r="I80" s="37">
        <f t="shared" si="60"/>
        <v>0</v>
      </c>
      <c r="J80" s="37">
        <v>1</v>
      </c>
      <c r="K80" s="37">
        <v>1</v>
      </c>
      <c r="L80" s="37">
        <v>1</v>
      </c>
      <c r="M80" s="37">
        <v>1</v>
      </c>
    </row>
    <row r="81" spans="1:13" ht="30" x14ac:dyDescent="0.25">
      <c r="A81" s="17" t="s">
        <v>190</v>
      </c>
      <c r="B81" s="51" t="s">
        <v>191</v>
      </c>
      <c r="C81" s="38" t="s">
        <v>100</v>
      </c>
      <c r="D81" s="47">
        <v>1</v>
      </c>
      <c r="E81" s="37">
        <f t="shared" si="56"/>
        <v>0</v>
      </c>
      <c r="F81" s="37" t="str">
        <f t="shared" si="57"/>
        <v xml:space="preserve"> </v>
      </c>
      <c r="G81" s="37" t="str">
        <f t="shared" si="58"/>
        <v xml:space="preserve"> </v>
      </c>
      <c r="H81" s="37" t="str">
        <f t="shared" si="59"/>
        <v xml:space="preserve"> </v>
      </c>
      <c r="I81" s="37">
        <f t="shared" si="60"/>
        <v>0</v>
      </c>
      <c r="J81" s="37">
        <v>1</v>
      </c>
      <c r="K81" s="37"/>
      <c r="L81" s="37"/>
      <c r="M81" s="37"/>
    </row>
    <row r="82" spans="1:13" ht="45" x14ac:dyDescent="0.25">
      <c r="A82" s="17" t="s">
        <v>192</v>
      </c>
      <c r="B82" s="51" t="s">
        <v>193</v>
      </c>
      <c r="C82" s="38" t="s">
        <v>100</v>
      </c>
      <c r="D82" s="47">
        <v>1</v>
      </c>
      <c r="E82" s="37">
        <f t="shared" si="56"/>
        <v>0</v>
      </c>
      <c r="F82" s="37">
        <f t="shared" si="57"/>
        <v>0</v>
      </c>
      <c r="G82" s="37" t="str">
        <f t="shared" si="58"/>
        <v xml:space="preserve"> </v>
      </c>
      <c r="H82" s="37" t="str">
        <f t="shared" si="59"/>
        <v xml:space="preserve"> </v>
      </c>
      <c r="I82" s="37">
        <f t="shared" si="60"/>
        <v>0</v>
      </c>
      <c r="J82" s="37">
        <v>1</v>
      </c>
      <c r="K82" s="37">
        <v>1</v>
      </c>
      <c r="L82" s="37"/>
      <c r="M82" s="37"/>
    </row>
    <row r="83" spans="1:13" x14ac:dyDescent="0.25">
      <c r="A83" s="65" t="s">
        <v>194</v>
      </c>
      <c r="B83" s="66" t="s">
        <v>195</v>
      </c>
      <c r="C83" s="37"/>
      <c r="D83" s="47"/>
      <c r="E83" s="37" t="str">
        <f t="shared" ref="E83:E90" si="61">IF(J83=1,$I83," ")</f>
        <v xml:space="preserve"> </v>
      </c>
      <c r="F83" s="37" t="str">
        <f t="shared" ref="F83:F88" si="62">IF(K83=1,$I83," ")</f>
        <v xml:space="preserve"> </v>
      </c>
      <c r="G83" s="37" t="str">
        <f t="shared" ref="G83:G88" si="63">IF(L83=1,$I83," ")</f>
        <v xml:space="preserve"> </v>
      </c>
      <c r="H83" s="37" t="str">
        <f t="shared" ref="H83:H88" si="64">IF(M83=1,$I83," ")</f>
        <v xml:space="preserve"> </v>
      </c>
      <c r="I83" s="37"/>
      <c r="J83" s="37"/>
      <c r="K83" s="37"/>
      <c r="L83" s="37"/>
      <c r="M83" s="37"/>
    </row>
    <row r="84" spans="1:13" ht="45" x14ac:dyDescent="0.25">
      <c r="A84" s="17" t="s">
        <v>196</v>
      </c>
      <c r="B84" s="51" t="s">
        <v>197</v>
      </c>
      <c r="C84" s="38" t="s">
        <v>100</v>
      </c>
      <c r="D84" s="47">
        <v>1</v>
      </c>
      <c r="E84" s="37" t="str">
        <f t="shared" si="61"/>
        <v xml:space="preserve"> </v>
      </c>
      <c r="F84" s="37">
        <f t="shared" si="62"/>
        <v>0</v>
      </c>
      <c r="G84" s="37" t="str">
        <f t="shared" si="63"/>
        <v xml:space="preserve"> </v>
      </c>
      <c r="H84" s="37">
        <f t="shared" si="64"/>
        <v>0</v>
      </c>
      <c r="I84" s="37">
        <f t="shared" si="60"/>
        <v>0</v>
      </c>
      <c r="J84" s="37"/>
      <c r="K84" s="37">
        <v>1</v>
      </c>
      <c r="L84" s="37"/>
      <c r="M84" s="37">
        <v>1</v>
      </c>
    </row>
    <row r="85" spans="1:13" ht="30" x14ac:dyDescent="0.25">
      <c r="A85" s="17" t="s">
        <v>198</v>
      </c>
      <c r="B85" s="51" t="s">
        <v>199</v>
      </c>
      <c r="C85" s="38" t="s">
        <v>100</v>
      </c>
      <c r="D85" s="47">
        <v>1</v>
      </c>
      <c r="E85" s="37" t="str">
        <f t="shared" si="61"/>
        <v xml:space="preserve"> </v>
      </c>
      <c r="F85" s="37">
        <f t="shared" si="62"/>
        <v>0</v>
      </c>
      <c r="G85" s="37" t="str">
        <f t="shared" si="63"/>
        <v xml:space="preserve"> </v>
      </c>
      <c r="H85" s="37">
        <f t="shared" si="64"/>
        <v>0</v>
      </c>
      <c r="I85" s="37">
        <f t="shared" si="60"/>
        <v>0</v>
      </c>
      <c r="J85" s="37"/>
      <c r="K85" s="37">
        <v>1</v>
      </c>
      <c r="L85" s="37"/>
      <c r="M85" s="37">
        <v>1</v>
      </c>
    </row>
    <row r="86" spans="1:13" ht="45" x14ac:dyDescent="0.25">
      <c r="A86" s="17" t="s">
        <v>200</v>
      </c>
      <c r="B86" s="51" t="s">
        <v>201</v>
      </c>
      <c r="C86" s="38" t="s">
        <v>100</v>
      </c>
      <c r="D86" s="47">
        <v>1</v>
      </c>
      <c r="E86" s="37" t="str">
        <f t="shared" si="61"/>
        <v xml:space="preserve"> </v>
      </c>
      <c r="F86" s="37">
        <f t="shared" si="62"/>
        <v>0</v>
      </c>
      <c r="G86" s="37">
        <f t="shared" si="63"/>
        <v>0</v>
      </c>
      <c r="H86" s="37" t="str">
        <f t="shared" si="64"/>
        <v xml:space="preserve"> </v>
      </c>
      <c r="I86" s="37">
        <f t="shared" si="60"/>
        <v>0</v>
      </c>
      <c r="J86" s="37"/>
      <c r="K86" s="37">
        <v>1</v>
      </c>
      <c r="L86" s="37">
        <v>1</v>
      </c>
      <c r="M86" s="37"/>
    </row>
    <row r="87" spans="1:13" ht="30" x14ac:dyDescent="0.25">
      <c r="A87" s="17" t="s">
        <v>202</v>
      </c>
      <c r="B87" s="51" t="s">
        <v>203</v>
      </c>
      <c r="C87" s="38" t="s">
        <v>100</v>
      </c>
      <c r="D87" s="47">
        <v>1</v>
      </c>
      <c r="E87" s="37">
        <f t="shared" si="61"/>
        <v>0</v>
      </c>
      <c r="F87" s="37" t="str">
        <f t="shared" si="62"/>
        <v xml:space="preserve"> </v>
      </c>
      <c r="G87" s="37">
        <f t="shared" si="63"/>
        <v>0</v>
      </c>
      <c r="H87" s="37" t="str">
        <f t="shared" si="64"/>
        <v xml:space="preserve"> </v>
      </c>
      <c r="I87" s="37">
        <f t="shared" si="60"/>
        <v>0</v>
      </c>
      <c r="J87" s="37">
        <v>1</v>
      </c>
      <c r="K87" s="37"/>
      <c r="L87" s="37">
        <v>1</v>
      </c>
      <c r="M87" s="37"/>
    </row>
    <row r="88" spans="1:13" x14ac:dyDescent="0.25">
      <c r="A88" s="17"/>
      <c r="B88" s="51"/>
      <c r="C88" s="37"/>
      <c r="D88" s="47"/>
      <c r="E88" s="37" t="str">
        <f t="shared" si="61"/>
        <v xml:space="preserve"> </v>
      </c>
      <c r="F88" s="37" t="str">
        <f t="shared" si="62"/>
        <v xml:space="preserve"> </v>
      </c>
      <c r="G88" s="37" t="str">
        <f t="shared" si="63"/>
        <v xml:space="preserve"> </v>
      </c>
      <c r="H88" s="37" t="str">
        <f t="shared" si="64"/>
        <v xml:space="preserve"> </v>
      </c>
      <c r="I88" s="37"/>
      <c r="J88" s="37"/>
      <c r="K88" s="37"/>
      <c r="L88" s="37"/>
      <c r="M88" s="37"/>
    </row>
    <row r="89" spans="1:13" ht="18.75" x14ac:dyDescent="0.25">
      <c r="A89" s="54" t="s">
        <v>204</v>
      </c>
      <c r="B89" s="55" t="s">
        <v>205</v>
      </c>
      <c r="C89" s="45"/>
      <c r="D89" s="46"/>
      <c r="E89" s="64">
        <f>SUM(E90:E104)</f>
        <v>0</v>
      </c>
      <c r="F89" s="64">
        <f t="shared" ref="F89:H89" si="65">SUM(F90:F104)</f>
        <v>0</v>
      </c>
      <c r="G89" s="64">
        <f t="shared" si="65"/>
        <v>0</v>
      </c>
      <c r="H89" s="64">
        <f t="shared" si="65"/>
        <v>0</v>
      </c>
      <c r="I89" s="45"/>
      <c r="J89" s="45"/>
      <c r="K89" s="45"/>
      <c r="L89" s="45"/>
      <c r="M89" s="45"/>
    </row>
    <row r="90" spans="1:13" x14ac:dyDescent="0.25">
      <c r="A90" s="65" t="s">
        <v>206</v>
      </c>
      <c r="B90" s="66" t="s">
        <v>207</v>
      </c>
      <c r="C90" s="37"/>
      <c r="D90" s="47"/>
      <c r="E90" s="37" t="str">
        <f t="shared" si="61"/>
        <v xml:space="preserve"> </v>
      </c>
      <c r="F90" s="37" t="str">
        <f t="shared" ref="F90" si="66">IF(K90=1,$I90," ")</f>
        <v xml:space="preserve"> </v>
      </c>
      <c r="G90" s="37" t="str">
        <f t="shared" ref="G90" si="67">IF(L90=1,$I90," ")</f>
        <v xml:space="preserve"> </v>
      </c>
      <c r="H90" s="37" t="str">
        <f t="shared" ref="H90" si="68">IF(M90=1,$I90," ")</f>
        <v xml:space="preserve"> </v>
      </c>
      <c r="I90" s="37"/>
      <c r="J90" s="37"/>
      <c r="K90" s="37"/>
      <c r="L90" s="37"/>
      <c r="M90" s="37"/>
    </row>
    <row r="91" spans="1:13" ht="63" customHeight="1" x14ac:dyDescent="0.25">
      <c r="A91" s="17" t="s">
        <v>208</v>
      </c>
      <c r="B91" s="51" t="s">
        <v>209</v>
      </c>
      <c r="C91" s="38" t="s">
        <v>100</v>
      </c>
      <c r="D91" s="47">
        <v>1</v>
      </c>
      <c r="E91" s="37">
        <f t="shared" ref="E91:E104" si="69">IF(J91=1,$I91," ")</f>
        <v>0</v>
      </c>
      <c r="F91" s="37">
        <f t="shared" ref="F91:F104" si="70">IF(K91=1,$I91," ")</f>
        <v>0</v>
      </c>
      <c r="G91" s="37">
        <f t="shared" ref="G91:G104" si="71">IF(L91=1,$I91," ")</f>
        <v>0</v>
      </c>
      <c r="H91" s="37">
        <f t="shared" ref="H91:H104" si="72">IF(M91=1,$I91," ")</f>
        <v>0</v>
      </c>
      <c r="I91" s="37">
        <f t="shared" ref="I91:I94" si="73">IF(C91="Y",D91,0)</f>
        <v>0</v>
      </c>
      <c r="J91" s="37">
        <v>1</v>
      </c>
      <c r="K91" s="37">
        <v>1</v>
      </c>
      <c r="L91" s="37">
        <v>1</v>
      </c>
      <c r="M91" s="37">
        <v>1</v>
      </c>
    </row>
    <row r="92" spans="1:13" ht="30" x14ac:dyDescent="0.25">
      <c r="A92" s="17" t="s">
        <v>210</v>
      </c>
      <c r="B92" s="51" t="s">
        <v>211</v>
      </c>
      <c r="C92" s="38" t="s">
        <v>100</v>
      </c>
      <c r="D92" s="47">
        <v>0.5</v>
      </c>
      <c r="E92" s="37">
        <f t="shared" si="69"/>
        <v>0</v>
      </c>
      <c r="F92" s="37">
        <f t="shared" si="70"/>
        <v>0</v>
      </c>
      <c r="G92" s="37">
        <f t="shared" si="71"/>
        <v>0</v>
      </c>
      <c r="H92" s="37">
        <f t="shared" si="72"/>
        <v>0</v>
      </c>
      <c r="I92" s="37">
        <f t="shared" si="73"/>
        <v>0</v>
      </c>
      <c r="J92" s="37">
        <v>1</v>
      </c>
      <c r="K92" s="37">
        <v>1</v>
      </c>
      <c r="L92" s="37">
        <v>1</v>
      </c>
      <c r="M92" s="37">
        <v>1</v>
      </c>
    </row>
    <row r="93" spans="1:13" ht="60" x14ac:dyDescent="0.25">
      <c r="A93" s="17" t="s">
        <v>212</v>
      </c>
      <c r="B93" s="51" t="s">
        <v>213</v>
      </c>
      <c r="C93" s="38" t="s">
        <v>100</v>
      </c>
      <c r="D93" s="47">
        <v>1</v>
      </c>
      <c r="E93" s="37">
        <f t="shared" si="69"/>
        <v>0</v>
      </c>
      <c r="F93" s="37">
        <f t="shared" si="70"/>
        <v>0</v>
      </c>
      <c r="G93" s="37">
        <f t="shared" si="71"/>
        <v>0</v>
      </c>
      <c r="H93" s="37">
        <f t="shared" si="72"/>
        <v>0</v>
      </c>
      <c r="I93" s="37">
        <f t="shared" si="73"/>
        <v>0</v>
      </c>
      <c r="J93" s="37">
        <v>1</v>
      </c>
      <c r="K93" s="37">
        <v>1</v>
      </c>
      <c r="L93" s="37">
        <v>1</v>
      </c>
      <c r="M93" s="37">
        <v>1</v>
      </c>
    </row>
    <row r="94" spans="1:13" ht="30" x14ac:dyDescent="0.25">
      <c r="A94" s="17" t="s">
        <v>214</v>
      </c>
      <c r="B94" s="51" t="s">
        <v>215</v>
      </c>
      <c r="C94" s="38" t="s">
        <v>100</v>
      </c>
      <c r="D94" s="47">
        <v>0.5</v>
      </c>
      <c r="E94" s="37">
        <f t="shared" si="69"/>
        <v>0</v>
      </c>
      <c r="F94" s="37" t="str">
        <f t="shared" si="70"/>
        <v xml:space="preserve"> </v>
      </c>
      <c r="G94" s="37" t="str">
        <f t="shared" si="71"/>
        <v xml:space="preserve"> </v>
      </c>
      <c r="H94" s="37" t="str">
        <f t="shared" si="72"/>
        <v xml:space="preserve"> </v>
      </c>
      <c r="I94" s="37">
        <f t="shared" si="73"/>
        <v>0</v>
      </c>
      <c r="J94" s="37">
        <v>1</v>
      </c>
      <c r="K94" s="37"/>
      <c r="L94" s="37"/>
      <c r="M94" s="37"/>
    </row>
    <row r="95" spans="1:13" x14ac:dyDescent="0.25">
      <c r="A95" s="65" t="s">
        <v>216</v>
      </c>
      <c r="B95" s="66" t="s">
        <v>217</v>
      </c>
      <c r="C95" s="37"/>
      <c r="D95" s="47"/>
      <c r="E95" s="37" t="str">
        <f t="shared" ref="E95:E103" si="74">IF(J95=1,$I95," ")</f>
        <v xml:space="preserve"> </v>
      </c>
      <c r="F95" s="37" t="str">
        <f t="shared" ref="F95:F103" si="75">IF(K95=1,$I95," ")</f>
        <v xml:space="preserve"> </v>
      </c>
      <c r="G95" s="37" t="str">
        <f t="shared" ref="G95:G103" si="76">IF(L95=1,$I95," ")</f>
        <v xml:space="preserve"> </v>
      </c>
      <c r="H95" s="37" t="str">
        <f t="shared" ref="H95:H103" si="77">IF(M95=1,$I95," ")</f>
        <v xml:space="preserve"> </v>
      </c>
      <c r="I95" s="37"/>
      <c r="J95" s="37"/>
      <c r="K95" s="37"/>
      <c r="L95" s="37"/>
      <c r="M95" s="37"/>
    </row>
    <row r="96" spans="1:13" ht="30" x14ac:dyDescent="0.25">
      <c r="A96" s="17"/>
      <c r="B96" s="51" t="s">
        <v>218</v>
      </c>
      <c r="C96" s="37"/>
      <c r="D96" s="47"/>
      <c r="E96" s="37" t="str">
        <f t="shared" si="74"/>
        <v xml:space="preserve"> </v>
      </c>
      <c r="F96" s="37" t="str">
        <f t="shared" si="75"/>
        <v xml:space="preserve"> </v>
      </c>
      <c r="G96" s="37" t="str">
        <f t="shared" si="76"/>
        <v xml:space="preserve"> </v>
      </c>
      <c r="H96" s="37" t="str">
        <f t="shared" si="77"/>
        <v xml:space="preserve"> </v>
      </c>
      <c r="I96" s="37"/>
      <c r="J96" s="37"/>
      <c r="K96" s="37"/>
      <c r="L96" s="37"/>
      <c r="M96" s="37"/>
    </row>
    <row r="97" spans="1:13" ht="45" x14ac:dyDescent="0.25">
      <c r="A97" s="17" t="s">
        <v>219</v>
      </c>
      <c r="B97" s="51" t="s">
        <v>220</v>
      </c>
      <c r="C97" s="38" t="s">
        <v>100</v>
      </c>
      <c r="D97" s="47">
        <v>1</v>
      </c>
      <c r="E97" s="37">
        <f t="shared" si="74"/>
        <v>0</v>
      </c>
      <c r="F97" s="37">
        <f t="shared" si="75"/>
        <v>0</v>
      </c>
      <c r="G97" s="37">
        <f t="shared" si="76"/>
        <v>0</v>
      </c>
      <c r="H97" s="37">
        <f t="shared" si="77"/>
        <v>0</v>
      </c>
      <c r="I97" s="37">
        <f t="shared" ref="I97:I99" si="78">IF(C97="Y",D97,0)</f>
        <v>0</v>
      </c>
      <c r="J97" s="37">
        <v>1</v>
      </c>
      <c r="K97" s="37">
        <v>1</v>
      </c>
      <c r="L97" s="37">
        <v>1</v>
      </c>
      <c r="M97" s="37">
        <v>1</v>
      </c>
    </row>
    <row r="98" spans="1:13" x14ac:dyDescent="0.25">
      <c r="A98" s="17" t="s">
        <v>221</v>
      </c>
      <c r="B98" s="51" t="s">
        <v>222</v>
      </c>
      <c r="C98" s="38" t="s">
        <v>100</v>
      </c>
      <c r="D98" s="47">
        <v>1</v>
      </c>
      <c r="E98" s="37">
        <f t="shared" si="74"/>
        <v>0</v>
      </c>
      <c r="F98" s="37">
        <f t="shared" si="75"/>
        <v>0</v>
      </c>
      <c r="G98" s="37">
        <f t="shared" si="76"/>
        <v>0</v>
      </c>
      <c r="H98" s="37">
        <f t="shared" si="77"/>
        <v>0</v>
      </c>
      <c r="I98" s="37">
        <f t="shared" si="78"/>
        <v>0</v>
      </c>
      <c r="J98" s="37">
        <v>1</v>
      </c>
      <c r="K98" s="37">
        <v>1</v>
      </c>
      <c r="L98" s="37">
        <v>1</v>
      </c>
      <c r="M98" s="37">
        <v>1</v>
      </c>
    </row>
    <row r="99" spans="1:13" ht="30" x14ac:dyDescent="0.25">
      <c r="A99" s="17" t="s">
        <v>223</v>
      </c>
      <c r="B99" s="51" t="s">
        <v>224</v>
      </c>
      <c r="C99" s="38" t="s">
        <v>100</v>
      </c>
      <c r="D99" s="47">
        <v>1</v>
      </c>
      <c r="E99" s="37">
        <f t="shared" si="74"/>
        <v>0</v>
      </c>
      <c r="F99" s="37">
        <f t="shared" si="75"/>
        <v>0</v>
      </c>
      <c r="G99" s="37">
        <f t="shared" si="76"/>
        <v>0</v>
      </c>
      <c r="H99" s="37">
        <f t="shared" si="77"/>
        <v>0</v>
      </c>
      <c r="I99" s="37">
        <f t="shared" si="78"/>
        <v>0</v>
      </c>
      <c r="J99" s="37">
        <v>1</v>
      </c>
      <c r="K99" s="37">
        <v>1</v>
      </c>
      <c r="L99" s="37">
        <v>1</v>
      </c>
      <c r="M99" s="37">
        <v>1</v>
      </c>
    </row>
    <row r="100" spans="1:13" x14ac:dyDescent="0.25">
      <c r="A100" s="65" t="s">
        <v>225</v>
      </c>
      <c r="B100" s="66" t="s">
        <v>226</v>
      </c>
      <c r="C100" s="37"/>
      <c r="D100" s="47"/>
      <c r="E100" s="37" t="str">
        <f t="shared" si="74"/>
        <v xml:space="preserve"> </v>
      </c>
      <c r="F100" s="37" t="str">
        <f t="shared" si="75"/>
        <v xml:space="preserve"> </v>
      </c>
      <c r="G100" s="37" t="str">
        <f t="shared" si="76"/>
        <v xml:space="preserve"> </v>
      </c>
      <c r="H100" s="37" t="str">
        <f t="shared" si="77"/>
        <v xml:space="preserve"> </v>
      </c>
      <c r="I100" s="37"/>
      <c r="J100" s="37"/>
      <c r="K100" s="37"/>
      <c r="L100" s="37"/>
      <c r="M100" s="37"/>
    </row>
    <row r="101" spans="1:13" x14ac:dyDescent="0.25">
      <c r="A101" s="17" t="s">
        <v>227</v>
      </c>
      <c r="B101" s="51" t="s">
        <v>228</v>
      </c>
      <c r="C101" s="38" t="s">
        <v>100</v>
      </c>
      <c r="D101" s="47">
        <v>1</v>
      </c>
      <c r="E101" s="37">
        <f t="shared" si="74"/>
        <v>0</v>
      </c>
      <c r="F101" s="37">
        <f t="shared" si="75"/>
        <v>0</v>
      </c>
      <c r="G101" s="37">
        <f t="shared" si="76"/>
        <v>0</v>
      </c>
      <c r="H101" s="37">
        <f t="shared" si="77"/>
        <v>0</v>
      </c>
      <c r="I101" s="37">
        <f t="shared" ref="I101" si="79">IF(C101="Y",D101,0)</f>
        <v>0</v>
      </c>
      <c r="J101" s="37">
        <v>1</v>
      </c>
      <c r="K101" s="37">
        <v>1</v>
      </c>
      <c r="L101" s="37">
        <v>1</v>
      </c>
      <c r="M101" s="37">
        <v>1</v>
      </c>
    </row>
    <row r="102" spans="1:13" ht="30" x14ac:dyDescent="0.25">
      <c r="A102" s="17" t="s">
        <v>229</v>
      </c>
      <c r="B102" s="51" t="s">
        <v>230</v>
      </c>
      <c r="C102" s="38"/>
      <c r="D102" s="48" t="str">
        <f>IF(C102="",IF(C101="Y","PLEASE INPUT",""),"")</f>
        <v/>
      </c>
      <c r="E102" s="37" t="str">
        <f t="shared" si="74"/>
        <v xml:space="preserve"> </v>
      </c>
      <c r="F102" s="37" t="str">
        <f t="shared" si="75"/>
        <v xml:space="preserve"> </v>
      </c>
      <c r="G102" s="37" t="str">
        <f t="shared" si="76"/>
        <v xml:space="preserve"> </v>
      </c>
      <c r="H102" s="37" t="str">
        <f t="shared" si="77"/>
        <v xml:space="preserve"> </v>
      </c>
      <c r="I102" s="37"/>
      <c r="J102" s="37"/>
      <c r="K102" s="37"/>
      <c r="L102" s="37"/>
      <c r="M102" s="37"/>
    </row>
    <row r="103" spans="1:13" ht="45" x14ac:dyDescent="0.25">
      <c r="A103" s="17" t="s">
        <v>231</v>
      </c>
      <c r="B103" s="52" t="s">
        <v>232</v>
      </c>
      <c r="C103" s="38" t="s">
        <v>100</v>
      </c>
      <c r="D103" s="47">
        <v>1</v>
      </c>
      <c r="E103" s="37">
        <f t="shared" si="74"/>
        <v>0</v>
      </c>
      <c r="F103" s="37">
        <f t="shared" si="75"/>
        <v>0</v>
      </c>
      <c r="G103" s="37">
        <f t="shared" si="76"/>
        <v>0</v>
      </c>
      <c r="H103" s="37">
        <f t="shared" si="77"/>
        <v>0</v>
      </c>
      <c r="I103" s="37">
        <f t="shared" ref="I103" si="80">IF(C103="Y",D103,0)</f>
        <v>0</v>
      </c>
      <c r="J103" s="37">
        <v>1</v>
      </c>
      <c r="K103" s="37">
        <v>1</v>
      </c>
      <c r="L103" s="37">
        <v>1</v>
      </c>
      <c r="M103" s="37">
        <v>1</v>
      </c>
    </row>
    <row r="104" spans="1:13" x14ac:dyDescent="0.25">
      <c r="A104" s="17"/>
      <c r="B104" s="51"/>
      <c r="C104" s="37"/>
      <c r="D104" s="47"/>
      <c r="E104" s="37" t="str">
        <f t="shared" si="69"/>
        <v xml:space="preserve"> </v>
      </c>
      <c r="F104" s="37" t="str">
        <f t="shared" si="70"/>
        <v xml:space="preserve"> </v>
      </c>
      <c r="G104" s="37" t="str">
        <f t="shared" si="71"/>
        <v xml:space="preserve"> </v>
      </c>
      <c r="H104" s="37" t="str">
        <f t="shared" si="72"/>
        <v xml:space="preserve"> </v>
      </c>
      <c r="I104" s="37"/>
      <c r="J104" s="37"/>
      <c r="K104" s="37"/>
      <c r="L104" s="37"/>
      <c r="M104" s="37"/>
    </row>
    <row r="105" spans="1:13" ht="18.75" x14ac:dyDescent="0.25">
      <c r="A105" s="54" t="s">
        <v>233</v>
      </c>
      <c r="B105" s="58" t="s">
        <v>234</v>
      </c>
      <c r="C105" s="45"/>
      <c r="D105" s="46"/>
      <c r="E105" s="64">
        <f>SUM(E106:E118)</f>
        <v>4</v>
      </c>
      <c r="F105" s="64">
        <f>SUM(F106:F118)</f>
        <v>4</v>
      </c>
      <c r="G105" s="64">
        <f>SUM(G106:G118)</f>
        <v>0</v>
      </c>
      <c r="H105" s="64">
        <f>SUM(H106:H118)</f>
        <v>0</v>
      </c>
      <c r="I105" s="45"/>
      <c r="J105" s="45"/>
      <c r="K105" s="45"/>
      <c r="L105" s="45"/>
      <c r="M105" s="45"/>
    </row>
    <row r="106" spans="1:13" ht="30" x14ac:dyDescent="0.25">
      <c r="A106" s="65" t="s">
        <v>235</v>
      </c>
      <c r="B106" s="66" t="s">
        <v>236</v>
      </c>
      <c r="C106" s="37"/>
      <c r="D106" s="47"/>
      <c r="E106" s="37" t="str">
        <f t="shared" ref="E106" si="81">IF(J106=1,$I106," ")</f>
        <v xml:space="preserve"> </v>
      </c>
      <c r="F106" s="37" t="str">
        <f t="shared" ref="F106" si="82">IF(K106=1,$I106," ")</f>
        <v xml:space="preserve"> </v>
      </c>
      <c r="G106" s="37" t="str">
        <f t="shared" ref="G106" si="83">IF(L106=1,$I106," ")</f>
        <v xml:space="preserve"> </v>
      </c>
      <c r="H106" s="37" t="str">
        <f t="shared" ref="H106" si="84">IF(M106=1,$I106," ")</f>
        <v xml:space="preserve"> </v>
      </c>
      <c r="I106" s="37"/>
      <c r="J106" s="37"/>
      <c r="K106" s="37"/>
      <c r="L106" s="37"/>
      <c r="M106" s="37"/>
    </row>
    <row r="107" spans="1:13" ht="45" x14ac:dyDescent="0.25">
      <c r="A107" s="17"/>
      <c r="B107" s="51" t="s">
        <v>237</v>
      </c>
      <c r="C107" s="37"/>
      <c r="D107" s="47"/>
      <c r="E107" s="37" t="str">
        <f t="shared" ref="E107:E120" si="85">IF(J107=1,$I107," ")</f>
        <v xml:space="preserve"> </v>
      </c>
      <c r="F107" s="37" t="str">
        <f t="shared" ref="F107:F118" si="86">IF(K107=1,$I107," ")</f>
        <v xml:space="preserve"> </v>
      </c>
      <c r="G107" s="37" t="str">
        <f t="shared" ref="G107:G118" si="87">IF(L107=1,$I107," ")</f>
        <v xml:space="preserve"> </v>
      </c>
      <c r="H107" s="37" t="str">
        <f t="shared" ref="H107:H118" si="88">IF(M107=1,$I107," ")</f>
        <v xml:space="preserve"> </v>
      </c>
      <c r="I107" s="37"/>
      <c r="J107" s="37"/>
      <c r="K107" s="37"/>
      <c r="L107" s="37"/>
      <c r="M107" s="37"/>
    </row>
    <row r="108" spans="1:13" x14ac:dyDescent="0.25">
      <c r="A108" s="17" t="s">
        <v>238</v>
      </c>
      <c r="B108" s="51" t="s">
        <v>239</v>
      </c>
      <c r="C108" s="38">
        <v>0</v>
      </c>
      <c r="D108" s="47"/>
      <c r="E108" s="37" t="str">
        <f t="shared" si="85"/>
        <v xml:space="preserve"> </v>
      </c>
      <c r="F108" s="37" t="str">
        <f t="shared" si="86"/>
        <v xml:space="preserve"> </v>
      </c>
      <c r="G108" s="37" t="str">
        <f t="shared" si="87"/>
        <v xml:space="preserve"> </v>
      </c>
      <c r="H108" s="37" t="str">
        <f t="shared" si="88"/>
        <v xml:space="preserve"> </v>
      </c>
      <c r="I108" s="37"/>
      <c r="J108" s="37"/>
      <c r="K108" s="37"/>
      <c r="L108" s="37"/>
      <c r="M108" s="37"/>
    </row>
    <row r="109" spans="1:13" ht="30" x14ac:dyDescent="0.25">
      <c r="A109" s="17" t="s">
        <v>240</v>
      </c>
      <c r="B109" s="51" t="s">
        <v>241</v>
      </c>
      <c r="C109" s="38">
        <v>0</v>
      </c>
      <c r="D109" s="48" t="str">
        <f>IF(C109&lt;C108,"PLEASE CHECK","")</f>
        <v/>
      </c>
      <c r="E109" s="37" t="str">
        <f t="shared" si="85"/>
        <v xml:space="preserve"> </v>
      </c>
      <c r="F109" s="37" t="str">
        <f t="shared" si="86"/>
        <v xml:space="preserve"> </v>
      </c>
      <c r="G109" s="37" t="str">
        <f t="shared" si="87"/>
        <v xml:space="preserve"> </v>
      </c>
      <c r="H109" s="37" t="str">
        <f t="shared" si="88"/>
        <v xml:space="preserve"> </v>
      </c>
      <c r="I109" s="37"/>
      <c r="J109" s="37"/>
      <c r="K109" s="37"/>
      <c r="L109" s="37"/>
      <c r="M109" s="37"/>
    </row>
    <row r="110" spans="1:13" ht="30" x14ac:dyDescent="0.25">
      <c r="A110" s="17" t="s">
        <v>242</v>
      </c>
      <c r="B110" s="51" t="s">
        <v>230</v>
      </c>
      <c r="C110" s="38"/>
      <c r="D110" s="48" t="str">
        <f>IF(C110="",IF(C109&gt;0,"PLEASE INPUT",""),"")</f>
        <v/>
      </c>
      <c r="E110" s="37" t="str">
        <f t="shared" si="85"/>
        <v xml:space="preserve"> </v>
      </c>
      <c r="F110" s="37" t="str">
        <f t="shared" si="86"/>
        <v xml:space="preserve"> </v>
      </c>
      <c r="G110" s="37" t="str">
        <f t="shared" si="87"/>
        <v xml:space="preserve"> </v>
      </c>
      <c r="H110" s="37" t="str">
        <f t="shared" si="88"/>
        <v xml:space="preserve"> </v>
      </c>
      <c r="I110" s="37"/>
      <c r="J110" s="37"/>
      <c r="K110" s="37"/>
      <c r="L110" s="37"/>
      <c r="M110" s="37"/>
    </row>
    <row r="111" spans="1:13" x14ac:dyDescent="0.25">
      <c r="A111" s="17"/>
      <c r="B111" s="52" t="s">
        <v>88</v>
      </c>
      <c r="C111" s="37"/>
      <c r="D111" s="47">
        <v>2</v>
      </c>
      <c r="E111" s="37">
        <f t="shared" si="85"/>
        <v>2</v>
      </c>
      <c r="F111" s="37">
        <f t="shared" si="86"/>
        <v>2</v>
      </c>
      <c r="G111" s="37" t="str">
        <f t="shared" si="87"/>
        <v xml:space="preserve"> </v>
      </c>
      <c r="H111" s="37" t="str">
        <f t="shared" si="88"/>
        <v xml:space="preserve"> </v>
      </c>
      <c r="I111" s="37">
        <f>IF(COUNTIF(D109:D110,"")=2,IF(C109&gt;=C108,D111,0),0)</f>
        <v>2</v>
      </c>
      <c r="J111" s="37">
        <v>1</v>
      </c>
      <c r="K111" s="37">
        <v>1</v>
      </c>
      <c r="L111" s="37"/>
      <c r="M111" s="37"/>
    </row>
    <row r="112" spans="1:13" x14ac:dyDescent="0.25">
      <c r="A112" s="17"/>
      <c r="B112" s="52" t="s">
        <v>243</v>
      </c>
      <c r="C112" s="37"/>
      <c r="D112" s="47">
        <v>1</v>
      </c>
      <c r="E112" s="37">
        <f t="shared" si="85"/>
        <v>0</v>
      </c>
      <c r="F112" s="37">
        <f t="shared" si="86"/>
        <v>0</v>
      </c>
      <c r="G112" s="37" t="str">
        <f t="shared" si="87"/>
        <v xml:space="preserve"> </v>
      </c>
      <c r="H112" s="37" t="str">
        <f t="shared" si="88"/>
        <v xml:space="preserve"> </v>
      </c>
      <c r="I112" s="37">
        <f>IF(COUNTIF(D109:D110,"")=2,IF(C109&gt;C108,D111,0),0)</f>
        <v>0</v>
      </c>
      <c r="J112" s="37">
        <v>1</v>
      </c>
      <c r="K112" s="37">
        <v>1</v>
      </c>
      <c r="L112" s="37"/>
      <c r="M112" s="37"/>
    </row>
    <row r="113" spans="1:13" ht="75" x14ac:dyDescent="0.25">
      <c r="A113" s="17" t="s">
        <v>244</v>
      </c>
      <c r="B113" s="51" t="s">
        <v>245</v>
      </c>
      <c r="C113" s="38" t="s">
        <v>246</v>
      </c>
      <c r="D113" s="47"/>
      <c r="E113" s="37" t="str">
        <f t="shared" si="85"/>
        <v xml:space="preserve"> </v>
      </c>
      <c r="F113" s="37" t="str">
        <f t="shared" si="86"/>
        <v xml:space="preserve"> </v>
      </c>
      <c r="G113" s="37" t="str">
        <f t="shared" si="87"/>
        <v xml:space="preserve"> </v>
      </c>
      <c r="H113" s="37" t="str">
        <f t="shared" si="88"/>
        <v xml:space="preserve"> </v>
      </c>
      <c r="I113" s="37"/>
      <c r="J113" s="37"/>
      <c r="K113" s="37"/>
      <c r="L113" s="37"/>
      <c r="M113" s="37"/>
    </row>
    <row r="114" spans="1:13" ht="32.25" customHeight="1" x14ac:dyDescent="0.25">
      <c r="A114" s="17" t="s">
        <v>247</v>
      </c>
      <c r="B114" s="51" t="s">
        <v>248</v>
      </c>
      <c r="C114" s="50">
        <v>0</v>
      </c>
      <c r="D114" s="48" t="str">
        <f>IF(C113="Y",IF(C114=0,"PLEASE CHECK",""),"")</f>
        <v/>
      </c>
      <c r="E114" s="37" t="str">
        <f t="shared" si="85"/>
        <v xml:space="preserve"> </v>
      </c>
      <c r="F114" s="37" t="str">
        <f t="shared" si="86"/>
        <v xml:space="preserve"> </v>
      </c>
      <c r="G114" s="37" t="str">
        <f t="shared" si="87"/>
        <v xml:space="preserve"> </v>
      </c>
      <c r="H114" s="37" t="str">
        <f t="shared" si="88"/>
        <v xml:space="preserve"> </v>
      </c>
      <c r="I114" s="37"/>
      <c r="J114" s="37"/>
      <c r="K114" s="37"/>
      <c r="L114" s="37"/>
      <c r="M114" s="37"/>
    </row>
    <row r="115" spans="1:13" x14ac:dyDescent="0.25">
      <c r="A115" s="17"/>
      <c r="B115" s="52" t="s">
        <v>88</v>
      </c>
      <c r="C115" s="37"/>
      <c r="D115" s="47">
        <v>2</v>
      </c>
      <c r="E115" s="37">
        <f t="shared" si="85"/>
        <v>2</v>
      </c>
      <c r="F115" s="37">
        <f t="shared" si="86"/>
        <v>2</v>
      </c>
      <c r="G115" s="37" t="str">
        <f t="shared" si="87"/>
        <v xml:space="preserve"> </v>
      </c>
      <c r="H115" s="37" t="str">
        <f t="shared" si="88"/>
        <v xml:space="preserve"> </v>
      </c>
      <c r="I115" s="37">
        <f>IF(COUNTIF(D113:D114,"")=2,IF(C113="Y",IF(C114&gt;0,D115,0),2),0)</f>
        <v>2</v>
      </c>
      <c r="J115" s="37">
        <v>1</v>
      </c>
      <c r="K115" s="37">
        <v>1</v>
      </c>
      <c r="L115" s="37"/>
      <c r="M115" s="37"/>
    </row>
    <row r="116" spans="1:13" ht="30" x14ac:dyDescent="0.25">
      <c r="A116" s="17"/>
      <c r="B116" s="52" t="s">
        <v>249</v>
      </c>
      <c r="C116" s="37"/>
      <c r="D116" s="47">
        <v>0.5</v>
      </c>
      <c r="E116" s="37">
        <f t="shared" si="85"/>
        <v>0</v>
      </c>
      <c r="F116" s="37">
        <f t="shared" si="86"/>
        <v>0</v>
      </c>
      <c r="G116" s="37" t="str">
        <f t="shared" si="87"/>
        <v xml:space="preserve"> </v>
      </c>
      <c r="H116" s="37" t="str">
        <f t="shared" si="88"/>
        <v xml:space="preserve"> </v>
      </c>
      <c r="I116" s="37">
        <f>IF(COUNTIF(D113:D114,"")=2,IF(C114&gt;0.75,D116,0),0)</f>
        <v>0</v>
      </c>
      <c r="J116" s="37">
        <v>1</v>
      </c>
      <c r="K116" s="37">
        <v>1</v>
      </c>
      <c r="L116" s="37"/>
      <c r="M116" s="37"/>
    </row>
    <row r="117" spans="1:13" x14ac:dyDescent="0.25">
      <c r="A117" s="17"/>
      <c r="B117" s="52" t="s">
        <v>250</v>
      </c>
      <c r="C117" s="37"/>
      <c r="D117" s="47">
        <v>0.5</v>
      </c>
      <c r="E117" s="37">
        <f t="shared" si="85"/>
        <v>0</v>
      </c>
      <c r="F117" s="37">
        <f t="shared" si="86"/>
        <v>0</v>
      </c>
      <c r="G117" s="37" t="str">
        <f t="shared" si="87"/>
        <v xml:space="preserve"> </v>
      </c>
      <c r="H117" s="37" t="str">
        <f t="shared" si="88"/>
        <v xml:space="preserve"> </v>
      </c>
      <c r="I117" s="37">
        <f>IF(COUNTIF(D113:D114,"")=2,IF(C114=1,D116,0),0)</f>
        <v>0</v>
      </c>
      <c r="J117" s="37">
        <v>1</v>
      </c>
      <c r="K117" s="37">
        <v>1</v>
      </c>
      <c r="L117" s="37"/>
      <c r="M117" s="37"/>
    </row>
    <row r="118" spans="1:13" x14ac:dyDescent="0.25">
      <c r="A118" s="17"/>
      <c r="B118" s="51"/>
      <c r="C118" s="37"/>
      <c r="D118" s="47"/>
      <c r="E118" s="37" t="str">
        <f t="shared" si="85"/>
        <v xml:space="preserve"> </v>
      </c>
      <c r="F118" s="37" t="str">
        <f t="shared" si="86"/>
        <v xml:space="preserve"> </v>
      </c>
      <c r="G118" s="37" t="str">
        <f t="shared" si="87"/>
        <v xml:space="preserve"> </v>
      </c>
      <c r="H118" s="37" t="str">
        <f t="shared" si="88"/>
        <v xml:space="preserve"> </v>
      </c>
      <c r="I118" s="37"/>
      <c r="J118" s="37"/>
      <c r="K118" s="37"/>
      <c r="L118" s="37"/>
      <c r="M118" s="37"/>
    </row>
    <row r="119" spans="1:13" ht="18.75" x14ac:dyDescent="0.25">
      <c r="A119" s="54" t="s">
        <v>251</v>
      </c>
      <c r="B119" s="58" t="s">
        <v>252</v>
      </c>
      <c r="C119" s="45"/>
      <c r="D119" s="46"/>
      <c r="E119" s="64">
        <f>SUM(E120:E126)</f>
        <v>0</v>
      </c>
      <c r="F119" s="64">
        <f t="shared" ref="F119:H119" si="89">SUM(F120:F126)</f>
        <v>0</v>
      </c>
      <c r="G119" s="64">
        <f t="shared" si="89"/>
        <v>0</v>
      </c>
      <c r="H119" s="64">
        <f t="shared" si="89"/>
        <v>0</v>
      </c>
      <c r="I119" s="45"/>
      <c r="J119" s="45"/>
      <c r="K119" s="45"/>
      <c r="L119" s="45"/>
      <c r="M119" s="45"/>
    </row>
    <row r="120" spans="1:13" ht="30" x14ac:dyDescent="0.25">
      <c r="A120" s="65" t="s">
        <v>253</v>
      </c>
      <c r="B120" s="66" t="s">
        <v>254</v>
      </c>
      <c r="C120" s="37"/>
      <c r="D120" s="47"/>
      <c r="E120" s="37" t="str">
        <f t="shared" si="85"/>
        <v xml:space="preserve"> </v>
      </c>
      <c r="F120" s="37" t="str">
        <f t="shared" ref="F120" si="90">IF(K120=1,$I120," ")</f>
        <v xml:space="preserve"> </v>
      </c>
      <c r="G120" s="37" t="str">
        <f t="shared" ref="G120" si="91">IF(L120=1,$I120," ")</f>
        <v xml:space="preserve"> </v>
      </c>
      <c r="H120" s="37" t="str">
        <f t="shared" ref="H120" si="92">IF(M120=1,$I120," ")</f>
        <v xml:space="preserve"> </v>
      </c>
      <c r="I120" s="37"/>
      <c r="J120" s="37"/>
      <c r="K120" s="37"/>
      <c r="L120" s="37"/>
      <c r="M120" s="37"/>
    </row>
    <row r="121" spans="1:13" ht="60" x14ac:dyDescent="0.25">
      <c r="A121" s="17" t="s">
        <v>255</v>
      </c>
      <c r="B121" s="51" t="s">
        <v>256</v>
      </c>
      <c r="C121" s="38" t="s">
        <v>100</v>
      </c>
      <c r="D121" s="47">
        <v>1</v>
      </c>
      <c r="E121" s="37">
        <f t="shared" ref="E121:E125" si="93">IF(J121=1,$I121," ")</f>
        <v>0</v>
      </c>
      <c r="F121" s="37" t="str">
        <f t="shared" ref="F121:F125" si="94">IF(K121=1,$I121," ")</f>
        <v xml:space="preserve"> </v>
      </c>
      <c r="G121" s="37" t="str">
        <f t="shared" ref="G121:G125" si="95">IF(L121=1,$I121," ")</f>
        <v xml:space="preserve"> </v>
      </c>
      <c r="H121" s="37" t="str">
        <f t="shared" ref="H121:H125" si="96">IF(M121=1,$I121," ")</f>
        <v xml:space="preserve"> </v>
      </c>
      <c r="I121" s="37">
        <f t="shared" ref="I121:I125" si="97">IF(C121="Y",D121,0)</f>
        <v>0</v>
      </c>
      <c r="J121" s="37">
        <v>1</v>
      </c>
      <c r="K121" s="37"/>
      <c r="L121" s="37"/>
      <c r="M121" s="37"/>
    </row>
    <row r="122" spans="1:13" ht="30" x14ac:dyDescent="0.25">
      <c r="A122" s="17" t="s">
        <v>257</v>
      </c>
      <c r="B122" s="51" t="s">
        <v>258</v>
      </c>
      <c r="C122" s="38" t="s">
        <v>100</v>
      </c>
      <c r="D122" s="47">
        <v>1</v>
      </c>
      <c r="E122" s="37">
        <f t="shared" si="93"/>
        <v>0</v>
      </c>
      <c r="F122" s="37" t="str">
        <f t="shared" si="94"/>
        <v xml:space="preserve"> </v>
      </c>
      <c r="G122" s="37" t="str">
        <f t="shared" si="95"/>
        <v xml:space="preserve"> </v>
      </c>
      <c r="H122" s="37" t="str">
        <f t="shared" si="96"/>
        <v xml:space="preserve"> </v>
      </c>
      <c r="I122" s="37">
        <f t="shared" si="97"/>
        <v>0</v>
      </c>
      <c r="J122" s="37">
        <v>1</v>
      </c>
      <c r="K122" s="37"/>
      <c r="L122" s="37"/>
      <c r="M122" s="37"/>
    </row>
    <row r="123" spans="1:13" ht="30" x14ac:dyDescent="0.25">
      <c r="A123" s="17" t="s">
        <v>259</v>
      </c>
      <c r="B123" s="51" t="s">
        <v>260</v>
      </c>
      <c r="C123" s="38" t="s">
        <v>100</v>
      </c>
      <c r="D123" s="47">
        <v>1</v>
      </c>
      <c r="E123" s="37">
        <f t="shared" si="93"/>
        <v>0</v>
      </c>
      <c r="F123" s="37" t="str">
        <f t="shared" si="94"/>
        <v xml:space="preserve"> </v>
      </c>
      <c r="G123" s="37" t="str">
        <f t="shared" si="95"/>
        <v xml:space="preserve"> </v>
      </c>
      <c r="H123" s="37" t="str">
        <f t="shared" si="96"/>
        <v xml:space="preserve"> </v>
      </c>
      <c r="I123" s="37">
        <f t="shared" si="97"/>
        <v>0</v>
      </c>
      <c r="J123" s="37">
        <v>1</v>
      </c>
      <c r="K123" s="37"/>
      <c r="L123" s="37"/>
      <c r="M123" s="37"/>
    </row>
    <row r="124" spans="1:13" ht="60" x14ac:dyDescent="0.25">
      <c r="A124" s="17" t="s">
        <v>261</v>
      </c>
      <c r="B124" s="51" t="s">
        <v>262</v>
      </c>
      <c r="C124" s="38" t="s">
        <v>100</v>
      </c>
      <c r="D124" s="47">
        <v>1</v>
      </c>
      <c r="E124" s="37">
        <f t="shared" si="93"/>
        <v>0</v>
      </c>
      <c r="F124" s="37" t="str">
        <f t="shared" si="94"/>
        <v xml:space="preserve"> </v>
      </c>
      <c r="G124" s="37" t="str">
        <f t="shared" si="95"/>
        <v xml:space="preserve"> </v>
      </c>
      <c r="H124" s="37" t="str">
        <f t="shared" si="96"/>
        <v xml:space="preserve"> </v>
      </c>
      <c r="I124" s="37">
        <f t="shared" si="97"/>
        <v>0</v>
      </c>
      <c r="J124" s="37">
        <v>1</v>
      </c>
      <c r="K124" s="37"/>
      <c r="L124" s="37"/>
      <c r="M124" s="37"/>
    </row>
    <row r="125" spans="1:13" ht="75" x14ac:dyDescent="0.25">
      <c r="A125" s="17" t="s">
        <v>263</v>
      </c>
      <c r="B125" s="51" t="s">
        <v>264</v>
      </c>
      <c r="C125" s="38" t="s">
        <v>100</v>
      </c>
      <c r="D125" s="47">
        <v>2</v>
      </c>
      <c r="E125" s="37">
        <f t="shared" si="93"/>
        <v>0</v>
      </c>
      <c r="F125" s="37" t="str">
        <f t="shared" si="94"/>
        <v xml:space="preserve"> </v>
      </c>
      <c r="G125" s="37" t="str">
        <f t="shared" si="95"/>
        <v xml:space="preserve"> </v>
      </c>
      <c r="H125" s="37" t="str">
        <f t="shared" si="96"/>
        <v xml:space="preserve"> </v>
      </c>
      <c r="I125" s="37">
        <f t="shared" si="97"/>
        <v>0</v>
      </c>
      <c r="J125" s="37">
        <v>1</v>
      </c>
      <c r="K125" s="37"/>
      <c r="L125" s="37"/>
      <c r="M125" s="37"/>
    </row>
    <row r="126" spans="1:13" x14ac:dyDescent="0.25">
      <c r="A126" s="17"/>
      <c r="B126" s="51"/>
      <c r="C126" s="37"/>
      <c r="D126" s="47"/>
      <c r="E126" s="37" t="str">
        <f t="shared" ref="E126:E128" si="98">IF(J126=1,$I126," ")</f>
        <v xml:space="preserve"> </v>
      </c>
      <c r="F126" s="37" t="str">
        <f t="shared" ref="F126" si="99">IF(K126=1,$I126," ")</f>
        <v xml:space="preserve"> </v>
      </c>
      <c r="G126" s="37" t="str">
        <f t="shared" ref="G126" si="100">IF(L126=1,$I126," ")</f>
        <v xml:space="preserve"> </v>
      </c>
      <c r="H126" s="37" t="str">
        <f t="shared" ref="H126" si="101">IF(M126=1,$I126," ")</f>
        <v xml:space="preserve"> </v>
      </c>
      <c r="I126" s="37"/>
      <c r="J126" s="37"/>
      <c r="K126" s="37"/>
      <c r="L126" s="37"/>
      <c r="M126" s="37"/>
    </row>
    <row r="127" spans="1:13" ht="18.75" x14ac:dyDescent="0.25">
      <c r="A127" s="54" t="s">
        <v>265</v>
      </c>
      <c r="B127" s="58" t="s">
        <v>266</v>
      </c>
      <c r="C127" s="45"/>
      <c r="D127" s="46"/>
      <c r="E127" s="64">
        <f>SUM(E128:E153)</f>
        <v>4</v>
      </c>
      <c r="F127" s="64">
        <f t="shared" ref="F127:H127" si="102">SUM(F128:F153)</f>
        <v>8</v>
      </c>
      <c r="G127" s="64">
        <f t="shared" si="102"/>
        <v>0</v>
      </c>
      <c r="H127" s="64">
        <f t="shared" si="102"/>
        <v>0</v>
      </c>
      <c r="I127" s="45"/>
      <c r="J127" s="45"/>
      <c r="K127" s="45"/>
      <c r="L127" s="45"/>
      <c r="M127" s="45"/>
    </row>
    <row r="128" spans="1:13" ht="45" x14ac:dyDescent="0.25">
      <c r="A128" s="65" t="s">
        <v>267</v>
      </c>
      <c r="B128" s="66" t="s">
        <v>268</v>
      </c>
      <c r="C128" s="37"/>
      <c r="D128" s="47"/>
      <c r="E128" s="37" t="str">
        <f t="shared" si="98"/>
        <v xml:space="preserve"> </v>
      </c>
      <c r="F128" s="37" t="str">
        <f t="shared" ref="F128" si="103">IF(K128=1,$I128," ")</f>
        <v xml:space="preserve"> </v>
      </c>
      <c r="G128" s="37" t="str">
        <f t="shared" ref="G128" si="104">IF(L128=1,$I128," ")</f>
        <v xml:space="preserve"> </v>
      </c>
      <c r="H128" s="37" t="str">
        <f t="shared" ref="H128" si="105">IF(M128=1,$I128," ")</f>
        <v xml:space="preserve"> </v>
      </c>
      <c r="I128" s="37"/>
      <c r="J128" s="37"/>
      <c r="K128" s="37"/>
      <c r="L128" s="37"/>
      <c r="M128" s="37"/>
    </row>
    <row r="129" spans="1:13" ht="45" x14ac:dyDescent="0.25">
      <c r="A129" s="17" t="s">
        <v>269</v>
      </c>
      <c r="B129" s="51" t="s">
        <v>270</v>
      </c>
      <c r="C129" s="38">
        <v>0</v>
      </c>
      <c r="D129" s="47"/>
      <c r="E129" s="37" t="str">
        <f t="shared" ref="E129:E140" si="106">IF(J129=1,$I129," ")</f>
        <v xml:space="preserve"> </v>
      </c>
      <c r="F129" s="37" t="str">
        <f t="shared" ref="F129:F140" si="107">IF(K129=1,$I129," ")</f>
        <v xml:space="preserve"> </v>
      </c>
      <c r="G129" s="37" t="str">
        <f t="shared" ref="G129:G140" si="108">IF(L129=1,$I129," ")</f>
        <v xml:space="preserve"> </v>
      </c>
      <c r="H129" s="37" t="str">
        <f t="shared" ref="H129:H140" si="109">IF(M129=1,$I129," ")</f>
        <v xml:space="preserve"> </v>
      </c>
      <c r="I129" s="37"/>
      <c r="J129" s="37"/>
      <c r="K129" s="37"/>
      <c r="L129" s="37"/>
      <c r="M129" s="37"/>
    </row>
    <row r="130" spans="1:13" ht="45" x14ac:dyDescent="0.25">
      <c r="A130" s="17" t="s">
        <v>271</v>
      </c>
      <c r="B130" s="51" t="s">
        <v>272</v>
      </c>
      <c r="C130" s="38">
        <v>0</v>
      </c>
      <c r="D130" s="48" t="str">
        <f>IF(C130&lt;C129,"PLEASE CHECK","")</f>
        <v/>
      </c>
      <c r="E130" s="37" t="str">
        <f t="shared" si="106"/>
        <v xml:space="preserve"> </v>
      </c>
      <c r="F130" s="37" t="str">
        <f t="shared" si="107"/>
        <v xml:space="preserve"> </v>
      </c>
      <c r="G130" s="37" t="str">
        <f t="shared" si="108"/>
        <v xml:space="preserve"> </v>
      </c>
      <c r="H130" s="37" t="str">
        <f t="shared" si="109"/>
        <v xml:space="preserve"> </v>
      </c>
      <c r="I130" s="37"/>
      <c r="J130" s="37"/>
      <c r="K130" s="37"/>
      <c r="L130" s="37"/>
      <c r="M130" s="37"/>
    </row>
    <row r="131" spans="1:13" x14ac:dyDescent="0.25">
      <c r="A131" s="17"/>
      <c r="B131" s="52" t="s">
        <v>88</v>
      </c>
      <c r="C131" s="37"/>
      <c r="D131" s="47">
        <v>2</v>
      </c>
      <c r="E131" s="37">
        <f t="shared" si="106"/>
        <v>2</v>
      </c>
      <c r="F131" s="37">
        <f t="shared" si="107"/>
        <v>2</v>
      </c>
      <c r="G131" s="37" t="str">
        <f t="shared" si="108"/>
        <v xml:space="preserve"> </v>
      </c>
      <c r="H131" s="37" t="str">
        <f t="shared" si="109"/>
        <v xml:space="preserve"> </v>
      </c>
      <c r="I131" s="37">
        <f>IF(COUNTIF(D130,"")=1,IF(C130&gt;=C129,D131,0),0)</f>
        <v>2</v>
      </c>
      <c r="J131" s="37">
        <v>1</v>
      </c>
      <c r="K131" s="37">
        <v>1</v>
      </c>
      <c r="L131" s="37"/>
      <c r="M131" s="37"/>
    </row>
    <row r="132" spans="1:13" x14ac:dyDescent="0.25">
      <c r="A132" s="17"/>
      <c r="B132" s="52" t="s">
        <v>273</v>
      </c>
      <c r="C132" s="37"/>
      <c r="D132" s="47">
        <v>1</v>
      </c>
      <c r="E132" s="37">
        <f t="shared" si="106"/>
        <v>0</v>
      </c>
      <c r="F132" s="37">
        <f t="shared" si="107"/>
        <v>0</v>
      </c>
      <c r="G132" s="37" t="str">
        <f t="shared" si="108"/>
        <v xml:space="preserve"> </v>
      </c>
      <c r="H132" s="37" t="str">
        <f t="shared" si="109"/>
        <v xml:space="preserve"> </v>
      </c>
      <c r="I132" s="37">
        <f>IF(COUNTIF(D130,"")=1,IF(C130&gt;C129,D132,0),0)</f>
        <v>0</v>
      </c>
      <c r="J132" s="37">
        <v>1</v>
      </c>
      <c r="K132" s="37">
        <v>1</v>
      </c>
      <c r="L132" s="37"/>
      <c r="M132" s="37"/>
    </row>
    <row r="133" spans="1:13" ht="75" x14ac:dyDescent="0.25">
      <c r="A133" s="65" t="s">
        <v>274</v>
      </c>
      <c r="B133" s="66" t="s">
        <v>578</v>
      </c>
      <c r="C133" s="37"/>
      <c r="D133" s="47"/>
      <c r="E133" s="37" t="str">
        <f t="shared" si="106"/>
        <v xml:space="preserve"> </v>
      </c>
      <c r="F133" s="37" t="str">
        <f t="shared" si="107"/>
        <v xml:space="preserve"> </v>
      </c>
      <c r="G133" s="37" t="str">
        <f t="shared" si="108"/>
        <v xml:space="preserve"> </v>
      </c>
      <c r="H133" s="37" t="str">
        <f t="shared" si="109"/>
        <v xml:space="preserve"> </v>
      </c>
      <c r="I133" s="37"/>
      <c r="J133" s="37"/>
      <c r="K133" s="37"/>
      <c r="L133" s="37"/>
      <c r="M133" s="37"/>
    </row>
    <row r="134" spans="1:13" ht="30" x14ac:dyDescent="0.25">
      <c r="A134" s="17" t="s">
        <v>275</v>
      </c>
      <c r="B134" s="51" t="s">
        <v>276</v>
      </c>
      <c r="C134" s="38">
        <v>0</v>
      </c>
      <c r="D134" s="47"/>
      <c r="E134" s="37" t="str">
        <f t="shared" si="106"/>
        <v xml:space="preserve"> </v>
      </c>
      <c r="F134" s="37" t="str">
        <f t="shared" si="107"/>
        <v xml:space="preserve"> </v>
      </c>
      <c r="G134" s="37" t="str">
        <f t="shared" si="108"/>
        <v xml:space="preserve"> </v>
      </c>
      <c r="H134" s="37" t="str">
        <f t="shared" si="109"/>
        <v xml:space="preserve"> </v>
      </c>
      <c r="I134" s="37"/>
      <c r="J134" s="37"/>
      <c r="K134" s="37"/>
      <c r="L134" s="37"/>
      <c r="M134" s="37"/>
    </row>
    <row r="135" spans="1:13" ht="30" x14ac:dyDescent="0.25">
      <c r="A135" s="17" t="s">
        <v>277</v>
      </c>
      <c r="B135" s="51" t="s">
        <v>278</v>
      </c>
      <c r="C135" s="38">
        <v>0</v>
      </c>
      <c r="D135" s="48" t="str">
        <f>IF(C135&lt;C134,"PLEASE CHECK","")</f>
        <v/>
      </c>
      <c r="E135" s="37" t="str">
        <f t="shared" si="106"/>
        <v xml:space="preserve"> </v>
      </c>
      <c r="F135" s="37" t="str">
        <f t="shared" si="107"/>
        <v xml:space="preserve"> </v>
      </c>
      <c r="G135" s="37" t="str">
        <f t="shared" si="108"/>
        <v xml:space="preserve"> </v>
      </c>
      <c r="H135" s="37" t="str">
        <f t="shared" si="109"/>
        <v xml:space="preserve"> </v>
      </c>
      <c r="I135" s="37"/>
      <c r="J135" s="37"/>
      <c r="K135" s="37"/>
      <c r="L135" s="37"/>
      <c r="M135" s="37"/>
    </row>
    <row r="136" spans="1:13" ht="30" x14ac:dyDescent="0.25">
      <c r="A136" s="17" t="s">
        <v>279</v>
      </c>
      <c r="B136" s="51" t="s">
        <v>280</v>
      </c>
      <c r="C136" s="38"/>
      <c r="D136" s="48" t="str">
        <f>IF(C136="",IF(C135&gt;0,"PLEASE INPUT",""),"")</f>
        <v/>
      </c>
      <c r="E136" s="37" t="str">
        <f t="shared" si="106"/>
        <v xml:space="preserve"> </v>
      </c>
      <c r="F136" s="37" t="str">
        <f t="shared" si="107"/>
        <v xml:space="preserve"> </v>
      </c>
      <c r="G136" s="37" t="str">
        <f t="shared" si="108"/>
        <v xml:space="preserve"> </v>
      </c>
      <c r="H136" s="37" t="str">
        <f t="shared" si="109"/>
        <v xml:space="preserve"> </v>
      </c>
      <c r="I136" s="37"/>
      <c r="J136" s="37"/>
      <c r="K136" s="37"/>
      <c r="L136" s="37"/>
      <c r="M136" s="37"/>
    </row>
    <row r="137" spans="1:13" x14ac:dyDescent="0.25">
      <c r="A137" s="17"/>
      <c r="B137" s="52" t="s">
        <v>281</v>
      </c>
      <c r="C137" s="37"/>
      <c r="D137" s="47">
        <v>2</v>
      </c>
      <c r="E137" s="37">
        <f t="shared" si="106"/>
        <v>2</v>
      </c>
      <c r="F137" s="37">
        <f t="shared" si="107"/>
        <v>2</v>
      </c>
      <c r="G137" s="37" t="str">
        <f t="shared" si="108"/>
        <v xml:space="preserve"> </v>
      </c>
      <c r="H137" s="37" t="str">
        <f t="shared" si="109"/>
        <v xml:space="preserve"> </v>
      </c>
      <c r="I137" s="37">
        <f>IF(COUNTIF(D135:D136,"")=2,IF(C135&gt;=C134,D137,0),0)</f>
        <v>2</v>
      </c>
      <c r="J137" s="37">
        <v>1</v>
      </c>
      <c r="K137" s="37">
        <v>1</v>
      </c>
      <c r="L137" s="37"/>
      <c r="M137" s="37"/>
    </row>
    <row r="138" spans="1:13" x14ac:dyDescent="0.25">
      <c r="A138" s="17"/>
      <c r="B138" s="52" t="s">
        <v>273</v>
      </c>
      <c r="C138" s="37"/>
      <c r="D138" s="47">
        <v>1</v>
      </c>
      <c r="E138" s="37">
        <f t="shared" si="106"/>
        <v>0</v>
      </c>
      <c r="F138" s="37">
        <f t="shared" si="107"/>
        <v>0</v>
      </c>
      <c r="G138" s="37" t="str">
        <f t="shared" si="108"/>
        <v xml:space="preserve"> </v>
      </c>
      <c r="H138" s="37" t="str">
        <f t="shared" si="109"/>
        <v xml:space="preserve"> </v>
      </c>
      <c r="I138" s="37">
        <f>IF(COUNTIF(D135:D136,"")=2,IF(C135&gt;C134,D138,0),0)</f>
        <v>0</v>
      </c>
      <c r="J138" s="37">
        <v>1</v>
      </c>
      <c r="K138" s="37">
        <v>1</v>
      </c>
      <c r="L138" s="37"/>
      <c r="M138" s="37"/>
    </row>
    <row r="139" spans="1:13" ht="30" x14ac:dyDescent="0.25">
      <c r="A139" s="17" t="s">
        <v>282</v>
      </c>
      <c r="B139" s="51" t="s">
        <v>283</v>
      </c>
      <c r="C139" s="38" t="s">
        <v>100</v>
      </c>
      <c r="D139" s="47">
        <v>1</v>
      </c>
      <c r="E139" s="37">
        <f t="shared" si="106"/>
        <v>0</v>
      </c>
      <c r="F139" s="37">
        <f t="shared" si="107"/>
        <v>0</v>
      </c>
      <c r="G139" s="37" t="str">
        <f t="shared" si="108"/>
        <v xml:space="preserve"> </v>
      </c>
      <c r="H139" s="37" t="str">
        <f t="shared" si="109"/>
        <v xml:space="preserve"> </v>
      </c>
      <c r="I139" s="37">
        <f t="shared" ref="I139" si="110">IF(C139="Y",D139,0)</f>
        <v>0</v>
      </c>
      <c r="J139" s="37">
        <v>1</v>
      </c>
      <c r="K139" s="37">
        <v>1</v>
      </c>
      <c r="L139" s="37"/>
      <c r="M139" s="37"/>
    </row>
    <row r="140" spans="1:13" x14ac:dyDescent="0.25">
      <c r="A140" s="65" t="s">
        <v>284</v>
      </c>
      <c r="B140" s="66" t="s">
        <v>285</v>
      </c>
      <c r="C140" s="37"/>
      <c r="D140" s="47"/>
      <c r="E140" s="37" t="str">
        <f t="shared" si="106"/>
        <v xml:space="preserve"> </v>
      </c>
      <c r="F140" s="37" t="str">
        <f t="shared" si="107"/>
        <v xml:space="preserve"> </v>
      </c>
      <c r="G140" s="37" t="str">
        <f t="shared" si="108"/>
        <v xml:space="preserve"> </v>
      </c>
      <c r="H140" s="37" t="str">
        <f t="shared" si="109"/>
        <v xml:space="preserve"> </v>
      </c>
      <c r="I140" s="37"/>
      <c r="J140" s="37"/>
      <c r="K140" s="37"/>
      <c r="L140" s="37"/>
      <c r="M140" s="37"/>
    </row>
    <row r="141" spans="1:13" ht="30" x14ac:dyDescent="0.25">
      <c r="A141" s="17" t="s">
        <v>286</v>
      </c>
      <c r="B141" s="51" t="s">
        <v>287</v>
      </c>
      <c r="C141" s="38">
        <v>0</v>
      </c>
      <c r="D141" s="47"/>
      <c r="E141" s="37" t="str">
        <f t="shared" ref="E141:E146" si="111">IF(J141=1,$I141," ")</f>
        <v xml:space="preserve"> </v>
      </c>
      <c r="F141" s="37" t="str">
        <f t="shared" ref="F141:F146" si="112">IF(K141=1,$I141," ")</f>
        <v xml:space="preserve"> </v>
      </c>
      <c r="G141" s="37" t="str">
        <f t="shared" ref="G141:G146" si="113">IF(L141=1,$I141," ")</f>
        <v xml:space="preserve"> </v>
      </c>
      <c r="H141" s="37" t="str">
        <f t="shared" ref="H141:H146" si="114">IF(M141=1,$I141," ")</f>
        <v xml:space="preserve"> </v>
      </c>
      <c r="I141" s="37"/>
      <c r="J141" s="37"/>
      <c r="K141" s="37"/>
      <c r="L141" s="37"/>
      <c r="M141" s="37"/>
    </row>
    <row r="142" spans="1:13" ht="30" x14ac:dyDescent="0.25">
      <c r="A142" s="17" t="s">
        <v>288</v>
      </c>
      <c r="B142" s="51" t="s">
        <v>289</v>
      </c>
      <c r="C142" s="38">
        <v>0</v>
      </c>
      <c r="D142" s="48" t="str">
        <f>IF(C142&lt;C141,"PLEASE CHECK","")</f>
        <v/>
      </c>
      <c r="E142" s="37" t="str">
        <f t="shared" si="111"/>
        <v xml:space="preserve"> </v>
      </c>
      <c r="F142" s="37" t="str">
        <f t="shared" si="112"/>
        <v xml:space="preserve"> </v>
      </c>
      <c r="G142" s="37" t="str">
        <f t="shared" si="113"/>
        <v xml:space="preserve"> </v>
      </c>
      <c r="H142" s="37" t="str">
        <f t="shared" si="114"/>
        <v xml:space="preserve"> </v>
      </c>
      <c r="I142" s="37"/>
      <c r="J142" s="37"/>
      <c r="K142" s="37"/>
      <c r="L142" s="37"/>
      <c r="M142" s="37"/>
    </row>
    <row r="143" spans="1:13" x14ac:dyDescent="0.25">
      <c r="A143" s="17"/>
      <c r="B143" s="52" t="s">
        <v>281</v>
      </c>
      <c r="C143" s="37"/>
      <c r="D143" s="47">
        <v>2</v>
      </c>
      <c r="E143" s="37" t="str">
        <f t="shared" si="111"/>
        <v xml:space="preserve"> </v>
      </c>
      <c r="F143" s="37">
        <f t="shared" si="112"/>
        <v>2</v>
      </c>
      <c r="G143" s="37" t="str">
        <f t="shared" si="113"/>
        <v xml:space="preserve"> </v>
      </c>
      <c r="H143" s="37" t="str">
        <f t="shared" si="114"/>
        <v xml:space="preserve"> </v>
      </c>
      <c r="I143" s="37">
        <f>IF(COUNTIF(D142,"")=1,IF(C142&gt;=C141,D143,0),0)</f>
        <v>2</v>
      </c>
      <c r="J143" s="37"/>
      <c r="K143" s="37">
        <v>1</v>
      </c>
      <c r="L143" s="37"/>
      <c r="M143" s="37"/>
    </row>
    <row r="144" spans="1:13" ht="30" x14ac:dyDescent="0.25">
      <c r="A144" s="17"/>
      <c r="B144" s="52" t="s">
        <v>121</v>
      </c>
      <c r="C144" s="37"/>
      <c r="D144" s="47">
        <v>1</v>
      </c>
      <c r="E144" s="37" t="str">
        <f t="shared" si="111"/>
        <v xml:space="preserve"> </v>
      </c>
      <c r="F144" s="37">
        <f t="shared" si="112"/>
        <v>0</v>
      </c>
      <c r="G144" s="37" t="str">
        <f t="shared" si="113"/>
        <v xml:space="preserve"> </v>
      </c>
      <c r="H144" s="37" t="str">
        <f t="shared" si="114"/>
        <v xml:space="preserve"> </v>
      </c>
      <c r="I144" s="37">
        <f>IF(COUNTIF(D142,"")=1,IF(C142&gt;C141,D144,0),0)</f>
        <v>0</v>
      </c>
      <c r="J144" s="37"/>
      <c r="K144" s="37">
        <v>1</v>
      </c>
      <c r="L144" s="37"/>
      <c r="M144" s="37"/>
    </row>
    <row r="145" spans="1:13" ht="45" x14ac:dyDescent="0.25">
      <c r="A145" s="17"/>
      <c r="B145" s="52" t="s">
        <v>122</v>
      </c>
      <c r="C145" s="37"/>
      <c r="D145" s="47">
        <v>1</v>
      </c>
      <c r="E145" s="37" t="str">
        <f t="shared" si="111"/>
        <v xml:space="preserve"> </v>
      </c>
      <c r="F145" s="37">
        <f t="shared" si="112"/>
        <v>0</v>
      </c>
      <c r="G145" s="37" t="str">
        <f t="shared" si="113"/>
        <v xml:space="preserve"> </v>
      </c>
      <c r="H145" s="37" t="str">
        <f t="shared" si="114"/>
        <v xml:space="preserve"> </v>
      </c>
      <c r="I145" s="37">
        <f>IF(COUNTIF(D142,"")=1,IF(C142&gt;2,IF(C142&gt;2*C141,D145,0),0),0)</f>
        <v>0</v>
      </c>
      <c r="J145" s="37"/>
      <c r="K145" s="37">
        <v>1</v>
      </c>
      <c r="L145" s="37"/>
      <c r="M145" s="37"/>
    </row>
    <row r="146" spans="1:13" x14ac:dyDescent="0.25">
      <c r="A146" s="65" t="s">
        <v>290</v>
      </c>
      <c r="B146" s="66" t="s">
        <v>291</v>
      </c>
      <c r="C146" s="37"/>
      <c r="D146" s="47"/>
      <c r="E146" s="37" t="str">
        <f t="shared" si="111"/>
        <v xml:space="preserve"> </v>
      </c>
      <c r="F146" s="37" t="str">
        <f t="shared" si="112"/>
        <v xml:space="preserve"> </v>
      </c>
      <c r="G146" s="37" t="str">
        <f t="shared" si="113"/>
        <v xml:space="preserve"> </v>
      </c>
      <c r="H146" s="37" t="str">
        <f t="shared" si="114"/>
        <v xml:space="preserve"> </v>
      </c>
      <c r="I146" s="37"/>
      <c r="J146" s="37"/>
      <c r="K146" s="37"/>
      <c r="L146" s="37"/>
      <c r="M146" s="37"/>
    </row>
    <row r="147" spans="1:13" ht="30" x14ac:dyDescent="0.25">
      <c r="A147" s="17" t="s">
        <v>292</v>
      </c>
      <c r="B147" s="51" t="s">
        <v>293</v>
      </c>
      <c r="C147" s="38">
        <v>0</v>
      </c>
      <c r="D147" s="47"/>
      <c r="E147" s="37" t="str">
        <f t="shared" ref="E147:E152" si="115">IF(J147=1,$I147," ")</f>
        <v xml:space="preserve"> </v>
      </c>
      <c r="F147" s="37" t="str">
        <f t="shared" ref="F147:F152" si="116">IF(K147=1,$I147," ")</f>
        <v xml:space="preserve"> </v>
      </c>
      <c r="G147" s="37" t="str">
        <f t="shared" ref="G147:G152" si="117">IF(L147=1,$I147," ")</f>
        <v xml:space="preserve"> </v>
      </c>
      <c r="H147" s="37" t="str">
        <f t="shared" ref="H147:H152" si="118">IF(M147=1,$I147," ")</f>
        <v xml:space="preserve"> </v>
      </c>
      <c r="I147" s="37"/>
      <c r="J147" s="37"/>
      <c r="K147" s="37"/>
      <c r="L147" s="37"/>
      <c r="M147" s="37"/>
    </row>
    <row r="148" spans="1:13" ht="30" x14ac:dyDescent="0.25">
      <c r="A148" s="17" t="s">
        <v>294</v>
      </c>
      <c r="B148" s="51" t="s">
        <v>295</v>
      </c>
      <c r="C148" s="38">
        <v>0</v>
      </c>
      <c r="D148" s="48" t="str">
        <f>IF(C148&lt;C147,"PLEASE CHECK","")</f>
        <v/>
      </c>
      <c r="E148" s="37" t="str">
        <f t="shared" si="115"/>
        <v xml:space="preserve"> </v>
      </c>
      <c r="F148" s="37" t="str">
        <f t="shared" si="116"/>
        <v xml:space="preserve"> </v>
      </c>
      <c r="G148" s="37" t="str">
        <f t="shared" si="117"/>
        <v xml:space="preserve"> </v>
      </c>
      <c r="H148" s="37" t="str">
        <f t="shared" si="118"/>
        <v xml:space="preserve"> </v>
      </c>
      <c r="I148" s="37"/>
      <c r="J148" s="37"/>
      <c r="K148" s="37"/>
      <c r="L148" s="37"/>
      <c r="M148" s="37"/>
    </row>
    <row r="149" spans="1:13" x14ac:dyDescent="0.25">
      <c r="A149" s="17"/>
      <c r="B149" s="52" t="s">
        <v>88</v>
      </c>
      <c r="C149" s="37"/>
      <c r="D149" s="47">
        <v>2</v>
      </c>
      <c r="E149" s="37" t="str">
        <f t="shared" si="115"/>
        <v xml:space="preserve"> </v>
      </c>
      <c r="F149" s="37">
        <f t="shared" si="116"/>
        <v>2</v>
      </c>
      <c r="G149" s="37" t="str">
        <f t="shared" si="117"/>
        <v xml:space="preserve"> </v>
      </c>
      <c r="H149" s="37" t="str">
        <f t="shared" si="118"/>
        <v xml:space="preserve"> </v>
      </c>
      <c r="I149" s="37">
        <f>IF(COUNTIF(D148,"")=1,IF(C148&gt;=C147,D149,0),0)</f>
        <v>2</v>
      </c>
      <c r="J149" s="37"/>
      <c r="K149" s="37">
        <v>1</v>
      </c>
      <c r="L149" s="37"/>
      <c r="M149" s="37"/>
    </row>
    <row r="150" spans="1:13" x14ac:dyDescent="0.25">
      <c r="A150" s="17"/>
      <c r="B150" s="52" t="s">
        <v>296</v>
      </c>
      <c r="C150" s="37"/>
      <c r="D150" s="47">
        <v>1</v>
      </c>
      <c r="E150" s="37" t="str">
        <f t="shared" si="115"/>
        <v xml:space="preserve"> </v>
      </c>
      <c r="F150" s="37">
        <f t="shared" si="116"/>
        <v>0</v>
      </c>
      <c r="G150" s="37" t="str">
        <f t="shared" si="117"/>
        <v xml:space="preserve"> </v>
      </c>
      <c r="H150" s="37" t="str">
        <f t="shared" si="118"/>
        <v xml:space="preserve"> </v>
      </c>
      <c r="I150" s="37">
        <f>IF(COUNTIF(D148,"")=1,IF(C148&gt;C147,D150,0),0)</f>
        <v>0</v>
      </c>
      <c r="J150" s="37"/>
      <c r="K150" s="37">
        <v>1</v>
      </c>
      <c r="L150" s="37"/>
      <c r="M150" s="37"/>
    </row>
    <row r="151" spans="1:13" x14ac:dyDescent="0.25">
      <c r="A151" s="65" t="s">
        <v>297</v>
      </c>
      <c r="B151" s="66" t="s">
        <v>298</v>
      </c>
      <c r="C151" s="37"/>
      <c r="D151" s="47"/>
      <c r="E151" s="37" t="str">
        <f t="shared" si="115"/>
        <v xml:space="preserve"> </v>
      </c>
      <c r="F151" s="37" t="str">
        <f t="shared" si="116"/>
        <v xml:space="preserve"> </v>
      </c>
      <c r="G151" s="37" t="str">
        <f t="shared" si="117"/>
        <v xml:space="preserve"> </v>
      </c>
      <c r="H151" s="37" t="str">
        <f t="shared" si="118"/>
        <v xml:space="preserve"> </v>
      </c>
      <c r="I151" s="37"/>
      <c r="J151" s="37"/>
      <c r="K151" s="37"/>
      <c r="L151" s="37"/>
      <c r="M151" s="37"/>
    </row>
    <row r="152" spans="1:13" ht="30" x14ac:dyDescent="0.25">
      <c r="A152" s="17" t="s">
        <v>299</v>
      </c>
      <c r="B152" s="51" t="s">
        <v>300</v>
      </c>
      <c r="C152" s="38" t="s">
        <v>100</v>
      </c>
      <c r="D152" s="47">
        <v>1</v>
      </c>
      <c r="E152" s="37" t="str">
        <f t="shared" si="115"/>
        <v xml:space="preserve"> </v>
      </c>
      <c r="F152" s="37">
        <f t="shared" si="116"/>
        <v>0</v>
      </c>
      <c r="G152" s="37" t="str">
        <f t="shared" si="117"/>
        <v xml:space="preserve"> </v>
      </c>
      <c r="H152" s="37" t="str">
        <f t="shared" si="118"/>
        <v xml:space="preserve"> </v>
      </c>
      <c r="I152" s="37">
        <f t="shared" ref="I152" si="119">IF(C152="Y",D152,0)</f>
        <v>0</v>
      </c>
      <c r="J152" s="37"/>
      <c r="K152" s="37">
        <v>1</v>
      </c>
      <c r="L152" s="37"/>
      <c r="M152" s="37"/>
    </row>
    <row r="153" spans="1:13" x14ac:dyDescent="0.25">
      <c r="A153" s="17"/>
      <c r="B153" s="51"/>
      <c r="C153" s="37"/>
      <c r="D153" s="47"/>
      <c r="E153" s="37" t="str">
        <f t="shared" ref="E153:E155" si="120">IF(J153=1,$I153," ")</f>
        <v xml:space="preserve"> </v>
      </c>
      <c r="F153" s="37" t="str">
        <f t="shared" ref="F153" si="121">IF(K153=1,$I153," ")</f>
        <v xml:space="preserve"> </v>
      </c>
      <c r="G153" s="37" t="str">
        <f t="shared" ref="G153" si="122">IF(L153=1,$I153," ")</f>
        <v xml:space="preserve"> </v>
      </c>
      <c r="H153" s="37" t="str">
        <f t="shared" ref="H153" si="123">IF(M153=1,$I153," ")</f>
        <v xml:space="preserve"> </v>
      </c>
      <c r="I153" s="37"/>
      <c r="J153" s="37"/>
      <c r="K153" s="37"/>
      <c r="L153" s="37"/>
      <c r="M153" s="37"/>
    </row>
    <row r="154" spans="1:13" ht="18.75" x14ac:dyDescent="0.25">
      <c r="A154" s="54" t="s">
        <v>301</v>
      </c>
      <c r="B154" s="58" t="s">
        <v>302</v>
      </c>
      <c r="C154" s="45"/>
      <c r="D154" s="46"/>
      <c r="E154" s="64">
        <f>SUM(E155:E212)</f>
        <v>0</v>
      </c>
      <c r="F154" s="64">
        <f>SUM(F155:F212)</f>
        <v>0</v>
      </c>
      <c r="G154" s="64">
        <f>SUM(G155:G212)</f>
        <v>9</v>
      </c>
      <c r="H154" s="64">
        <f>SUM(H155:H212)</f>
        <v>4</v>
      </c>
      <c r="I154" s="45"/>
      <c r="J154" s="45"/>
      <c r="K154" s="45"/>
      <c r="L154" s="45"/>
      <c r="M154" s="45"/>
    </row>
    <row r="155" spans="1:13" x14ac:dyDescent="0.25">
      <c r="A155" s="65" t="s">
        <v>303</v>
      </c>
      <c r="B155" s="66" t="s">
        <v>304</v>
      </c>
      <c r="C155" s="37"/>
      <c r="D155" s="47"/>
      <c r="E155" s="37" t="str">
        <f t="shared" si="120"/>
        <v xml:space="preserve"> </v>
      </c>
      <c r="F155" s="37" t="str">
        <f t="shared" ref="F155" si="124">IF(K155=1,$I155," ")</f>
        <v xml:space="preserve"> </v>
      </c>
      <c r="G155" s="37" t="str">
        <f t="shared" ref="G155" si="125">IF(L155=1,$I155," ")</f>
        <v xml:space="preserve"> </v>
      </c>
      <c r="H155" s="37" t="str">
        <f t="shared" ref="H155" si="126">IF(M155=1,$I155," ")</f>
        <v xml:space="preserve"> </v>
      </c>
      <c r="I155" s="37"/>
      <c r="J155" s="37"/>
      <c r="K155" s="37"/>
      <c r="L155" s="37"/>
      <c r="M155" s="37"/>
    </row>
    <row r="156" spans="1:13" ht="90" x14ac:dyDescent="0.25">
      <c r="A156" s="17"/>
      <c r="B156" s="51" t="s">
        <v>575</v>
      </c>
      <c r="C156" s="37"/>
      <c r="D156" s="47"/>
      <c r="E156" s="37" t="str">
        <f t="shared" ref="E156:E161" si="127">IF(J156=1,$I156," ")</f>
        <v xml:space="preserve"> </v>
      </c>
      <c r="F156" s="37" t="str">
        <f t="shared" ref="F156:F161" si="128">IF(K156=1,$I156," ")</f>
        <v xml:space="preserve"> </v>
      </c>
      <c r="G156" s="37" t="str">
        <f t="shared" ref="G156:G161" si="129">IF(L156=1,$I156," ")</f>
        <v xml:space="preserve"> </v>
      </c>
      <c r="H156" s="37" t="str">
        <f t="shared" ref="H156:H161" si="130">IF(M156=1,$I156," ")</f>
        <v xml:space="preserve"> </v>
      </c>
      <c r="I156" s="37"/>
      <c r="J156" s="37"/>
      <c r="K156" s="37"/>
      <c r="L156" s="37"/>
      <c r="M156" s="37"/>
    </row>
    <row r="157" spans="1:13" ht="30" x14ac:dyDescent="0.25">
      <c r="A157" s="17" t="s">
        <v>305</v>
      </c>
      <c r="B157" s="51" t="s">
        <v>576</v>
      </c>
      <c r="C157" s="38">
        <v>0</v>
      </c>
      <c r="D157" s="47"/>
      <c r="E157" s="37" t="str">
        <f t="shared" si="127"/>
        <v xml:space="preserve"> </v>
      </c>
      <c r="F157" s="37" t="str">
        <f t="shared" si="128"/>
        <v xml:space="preserve"> </v>
      </c>
      <c r="G157" s="37" t="str">
        <f t="shared" si="129"/>
        <v xml:space="preserve"> </v>
      </c>
      <c r="H157" s="37" t="str">
        <f t="shared" si="130"/>
        <v xml:space="preserve"> </v>
      </c>
      <c r="I157" s="37"/>
      <c r="J157" s="37"/>
      <c r="K157" s="37"/>
      <c r="L157" s="37"/>
      <c r="M157" s="37"/>
    </row>
    <row r="158" spans="1:13" ht="30" x14ac:dyDescent="0.25">
      <c r="A158" s="17" t="s">
        <v>306</v>
      </c>
      <c r="B158" s="51" t="s">
        <v>577</v>
      </c>
      <c r="C158" s="38">
        <v>0</v>
      </c>
      <c r="D158" s="48" t="str">
        <f>IF(C158&lt;C157,"PLEASE CHECK","")</f>
        <v/>
      </c>
      <c r="E158" s="37" t="str">
        <f t="shared" si="127"/>
        <v xml:space="preserve"> </v>
      </c>
      <c r="F158" s="37" t="str">
        <f t="shared" si="128"/>
        <v xml:space="preserve"> </v>
      </c>
      <c r="G158" s="37" t="str">
        <f t="shared" si="129"/>
        <v xml:space="preserve"> </v>
      </c>
      <c r="H158" s="37" t="str">
        <f t="shared" si="130"/>
        <v xml:space="preserve"> </v>
      </c>
      <c r="I158" s="37"/>
      <c r="J158" s="37"/>
      <c r="K158" s="37"/>
      <c r="L158" s="37"/>
      <c r="M158" s="37"/>
    </row>
    <row r="159" spans="1:13" ht="30" x14ac:dyDescent="0.25">
      <c r="A159" s="17" t="s">
        <v>307</v>
      </c>
      <c r="B159" s="51" t="s">
        <v>280</v>
      </c>
      <c r="C159" s="38"/>
      <c r="D159" s="48" t="str">
        <f>IF(C159="",IF(C158&gt;0,"PLEASE INPUT",""),"")</f>
        <v/>
      </c>
      <c r="E159" s="37" t="str">
        <f t="shared" si="127"/>
        <v xml:space="preserve"> </v>
      </c>
      <c r="F159" s="37" t="str">
        <f t="shared" si="128"/>
        <v xml:space="preserve"> </v>
      </c>
      <c r="G159" s="37" t="str">
        <f t="shared" si="129"/>
        <v xml:space="preserve"> </v>
      </c>
      <c r="H159" s="37" t="str">
        <f t="shared" si="130"/>
        <v xml:space="preserve"> </v>
      </c>
      <c r="I159" s="37"/>
      <c r="J159" s="37"/>
      <c r="K159" s="37"/>
      <c r="L159" s="37"/>
      <c r="M159" s="37"/>
    </row>
    <row r="160" spans="1:13" x14ac:dyDescent="0.25">
      <c r="A160" s="17"/>
      <c r="B160" s="52" t="s">
        <v>88</v>
      </c>
      <c r="C160" s="37"/>
      <c r="D160" s="47">
        <v>2</v>
      </c>
      <c r="E160" s="37" t="str">
        <f t="shared" si="127"/>
        <v xml:space="preserve"> </v>
      </c>
      <c r="F160" s="37" t="str">
        <f t="shared" si="128"/>
        <v xml:space="preserve"> </v>
      </c>
      <c r="G160" s="37">
        <f t="shared" si="129"/>
        <v>2</v>
      </c>
      <c r="H160" s="37">
        <f t="shared" si="130"/>
        <v>2</v>
      </c>
      <c r="I160" s="37">
        <f>IF(COUNTIF(D158:D159,"")=2,IF(C158&gt;=C157,D160,0),0)</f>
        <v>2</v>
      </c>
      <c r="J160" s="37"/>
      <c r="K160" s="37"/>
      <c r="L160" s="37">
        <v>1</v>
      </c>
      <c r="M160" s="37">
        <v>1</v>
      </c>
    </row>
    <row r="161" spans="1:13" x14ac:dyDescent="0.25">
      <c r="A161" s="17"/>
      <c r="B161" s="52" t="s">
        <v>296</v>
      </c>
      <c r="C161" s="37"/>
      <c r="D161" s="47">
        <v>2</v>
      </c>
      <c r="E161" s="37" t="str">
        <f t="shared" si="127"/>
        <v xml:space="preserve"> </v>
      </c>
      <c r="F161" s="37" t="str">
        <f t="shared" si="128"/>
        <v xml:space="preserve"> </v>
      </c>
      <c r="G161" s="37">
        <f t="shared" si="129"/>
        <v>0</v>
      </c>
      <c r="H161" s="37">
        <f t="shared" si="130"/>
        <v>0</v>
      </c>
      <c r="I161" s="37">
        <f>IF(COUNTIF(D158:D159,"")=2,IF(C158&gt;C157,D161,0),0)</f>
        <v>0</v>
      </c>
      <c r="J161" s="37"/>
      <c r="K161" s="37"/>
      <c r="L161" s="37">
        <v>1</v>
      </c>
      <c r="M161" s="37">
        <v>1</v>
      </c>
    </row>
    <row r="162" spans="1:13" x14ac:dyDescent="0.25">
      <c r="A162" s="65" t="s">
        <v>308</v>
      </c>
      <c r="B162" s="66" t="s">
        <v>309</v>
      </c>
      <c r="C162" s="37"/>
      <c r="D162" s="47"/>
      <c r="E162" s="37" t="str">
        <f t="shared" ref="E162:E165" si="131">IF(J162=1,$I162," ")</f>
        <v xml:space="preserve"> </v>
      </c>
      <c r="F162" s="37" t="str">
        <f t="shared" ref="F162:F165" si="132">IF(K162=1,$I162," ")</f>
        <v xml:space="preserve"> </v>
      </c>
      <c r="G162" s="37" t="str">
        <f t="shared" ref="G162:G165" si="133">IF(L162=1,$I162," ")</f>
        <v xml:space="preserve"> </v>
      </c>
      <c r="H162" s="37" t="str">
        <f t="shared" ref="H162:H165" si="134">IF(M162=1,$I162," ")</f>
        <v xml:space="preserve"> </v>
      </c>
      <c r="I162" s="37"/>
      <c r="J162" s="37"/>
      <c r="K162" s="37"/>
      <c r="L162" s="37"/>
      <c r="M162" s="37"/>
    </row>
    <row r="163" spans="1:13" ht="30" x14ac:dyDescent="0.25">
      <c r="A163" s="17" t="s">
        <v>310</v>
      </c>
      <c r="B163" s="51" t="s">
        <v>311</v>
      </c>
      <c r="C163" s="38">
        <v>0</v>
      </c>
      <c r="D163" s="47"/>
      <c r="E163" s="37" t="str">
        <f t="shared" si="131"/>
        <v xml:space="preserve"> </v>
      </c>
      <c r="F163" s="37" t="str">
        <f t="shared" si="132"/>
        <v xml:space="preserve"> </v>
      </c>
      <c r="G163" s="37" t="str">
        <f t="shared" si="133"/>
        <v xml:space="preserve"> </v>
      </c>
      <c r="H163" s="37" t="str">
        <f t="shared" si="134"/>
        <v xml:space="preserve"> </v>
      </c>
      <c r="I163" s="37"/>
      <c r="J163" s="37"/>
      <c r="K163" s="37"/>
      <c r="L163" s="37"/>
      <c r="M163" s="37"/>
    </row>
    <row r="164" spans="1:13" ht="30" x14ac:dyDescent="0.25">
      <c r="A164" s="17" t="s">
        <v>312</v>
      </c>
      <c r="B164" s="51" t="s">
        <v>313</v>
      </c>
      <c r="C164" s="38">
        <v>0</v>
      </c>
      <c r="D164" s="48" t="str">
        <f>IF(C164&lt;C163,"PLEASE CHECK","")</f>
        <v/>
      </c>
      <c r="E164" s="37" t="str">
        <f t="shared" si="131"/>
        <v xml:space="preserve"> </v>
      </c>
      <c r="F164" s="37" t="str">
        <f t="shared" si="132"/>
        <v xml:space="preserve"> </v>
      </c>
      <c r="G164" s="37" t="str">
        <f t="shared" si="133"/>
        <v xml:space="preserve"> </v>
      </c>
      <c r="H164" s="37" t="str">
        <f t="shared" si="134"/>
        <v xml:space="preserve"> </v>
      </c>
      <c r="I164" s="37"/>
      <c r="J164" s="37"/>
      <c r="K164" s="37"/>
      <c r="L164" s="37"/>
      <c r="M164" s="37"/>
    </row>
    <row r="165" spans="1:13" ht="30" x14ac:dyDescent="0.25">
      <c r="A165" s="17" t="s">
        <v>314</v>
      </c>
      <c r="B165" s="51" t="s">
        <v>230</v>
      </c>
      <c r="C165" s="38"/>
      <c r="D165" s="48" t="str">
        <f>IF(C165="",IF(C164&gt;0,"PLEASE INPUT",""),"")</f>
        <v/>
      </c>
      <c r="E165" s="37" t="str">
        <f t="shared" si="131"/>
        <v xml:space="preserve"> </v>
      </c>
      <c r="F165" s="37" t="str">
        <f t="shared" si="132"/>
        <v xml:space="preserve"> </v>
      </c>
      <c r="G165" s="37" t="str">
        <f t="shared" si="133"/>
        <v xml:space="preserve"> </v>
      </c>
      <c r="H165" s="37" t="str">
        <f t="shared" si="134"/>
        <v xml:space="preserve"> </v>
      </c>
      <c r="I165" s="37"/>
      <c r="J165" s="37"/>
      <c r="K165" s="37"/>
      <c r="L165" s="37"/>
      <c r="M165" s="37"/>
    </row>
    <row r="166" spans="1:13" x14ac:dyDescent="0.25">
      <c r="A166" s="17"/>
      <c r="B166" s="52" t="s">
        <v>88</v>
      </c>
      <c r="C166" s="37"/>
      <c r="D166" s="47">
        <v>2</v>
      </c>
      <c r="E166" s="37" t="str">
        <f t="shared" ref="E166:E171" si="135">IF(J166=1,$I166," ")</f>
        <v xml:space="preserve"> </v>
      </c>
      <c r="F166" s="37" t="str">
        <f t="shared" ref="F166:F171" si="136">IF(K166=1,$I166," ")</f>
        <v xml:space="preserve"> </v>
      </c>
      <c r="G166" s="37">
        <f t="shared" ref="G166:G171" si="137">IF(L166=1,$I166," ")</f>
        <v>2</v>
      </c>
      <c r="H166" s="37">
        <f t="shared" ref="H166:H171" si="138">IF(M166=1,$I166," ")</f>
        <v>2</v>
      </c>
      <c r="I166" s="37">
        <f>IF(COUNTIF(D164:D165,"")=2,IF(C164&gt;=C163,D166,0),0)</f>
        <v>2</v>
      </c>
      <c r="J166" s="37"/>
      <c r="K166" s="37"/>
      <c r="L166" s="37">
        <v>1</v>
      </c>
      <c r="M166" s="37">
        <v>1</v>
      </c>
    </row>
    <row r="167" spans="1:13" x14ac:dyDescent="0.25">
      <c r="A167" s="17"/>
      <c r="B167" s="52" t="s">
        <v>296</v>
      </c>
      <c r="C167" s="37"/>
      <c r="D167" s="47">
        <v>2</v>
      </c>
      <c r="E167" s="37" t="str">
        <f t="shared" si="135"/>
        <v xml:space="preserve"> </v>
      </c>
      <c r="F167" s="37" t="str">
        <f t="shared" si="136"/>
        <v xml:space="preserve"> </v>
      </c>
      <c r="G167" s="37">
        <f t="shared" si="137"/>
        <v>0</v>
      </c>
      <c r="H167" s="37">
        <f t="shared" si="138"/>
        <v>0</v>
      </c>
      <c r="I167" s="37">
        <f>IF(COUNTIF(D164:D165,"")=2,IF(C164&gt;C163,D167,0),0)</f>
        <v>0</v>
      </c>
      <c r="J167" s="37"/>
      <c r="K167" s="37"/>
      <c r="L167" s="37">
        <v>1</v>
      </c>
      <c r="M167" s="37">
        <v>1</v>
      </c>
    </row>
    <row r="168" spans="1:13" ht="75" x14ac:dyDescent="0.25">
      <c r="A168" s="17" t="s">
        <v>315</v>
      </c>
      <c r="B168" s="51" t="s">
        <v>316</v>
      </c>
      <c r="C168" s="38" t="s">
        <v>100</v>
      </c>
      <c r="D168" s="47">
        <v>1</v>
      </c>
      <c r="E168" s="37" t="str">
        <f t="shared" si="135"/>
        <v xml:space="preserve"> </v>
      </c>
      <c r="F168" s="37" t="str">
        <f t="shared" si="136"/>
        <v xml:space="preserve"> </v>
      </c>
      <c r="G168" s="37">
        <f t="shared" si="137"/>
        <v>0</v>
      </c>
      <c r="H168" s="37">
        <f t="shared" si="138"/>
        <v>0</v>
      </c>
      <c r="I168" s="37">
        <f t="shared" ref="I168:I169" si="139">IF(C168="Y",D168,0)</f>
        <v>0</v>
      </c>
      <c r="J168" s="37"/>
      <c r="K168" s="37"/>
      <c r="L168" s="37">
        <v>1</v>
      </c>
      <c r="M168" s="37">
        <v>1</v>
      </c>
    </row>
    <row r="169" spans="1:13" ht="30" x14ac:dyDescent="0.25">
      <c r="A169" s="17" t="s">
        <v>317</v>
      </c>
      <c r="B169" s="51" t="s">
        <v>554</v>
      </c>
      <c r="C169" s="38" t="s">
        <v>100</v>
      </c>
      <c r="D169" s="47">
        <v>1</v>
      </c>
      <c r="E169" s="37" t="str">
        <f t="shared" si="135"/>
        <v xml:space="preserve"> </v>
      </c>
      <c r="F169" s="37" t="str">
        <f t="shared" si="136"/>
        <v xml:space="preserve"> </v>
      </c>
      <c r="G169" s="37">
        <f t="shared" si="137"/>
        <v>0</v>
      </c>
      <c r="H169" s="37">
        <f t="shared" si="138"/>
        <v>0</v>
      </c>
      <c r="I169" s="37">
        <f t="shared" si="139"/>
        <v>0</v>
      </c>
      <c r="J169" s="37"/>
      <c r="K169" s="37"/>
      <c r="L169" s="37">
        <v>1</v>
      </c>
      <c r="M169" s="37">
        <v>1</v>
      </c>
    </row>
    <row r="170" spans="1:13" x14ac:dyDescent="0.25">
      <c r="A170" s="65" t="s">
        <v>318</v>
      </c>
      <c r="B170" s="66" t="s">
        <v>319</v>
      </c>
      <c r="C170" s="37"/>
      <c r="D170" s="47"/>
      <c r="E170" s="37" t="str">
        <f t="shared" si="135"/>
        <v xml:space="preserve"> </v>
      </c>
      <c r="F170" s="37" t="str">
        <f t="shared" si="136"/>
        <v xml:space="preserve"> </v>
      </c>
      <c r="G170" s="37" t="str">
        <f t="shared" si="137"/>
        <v xml:space="preserve"> </v>
      </c>
      <c r="H170" s="37" t="str">
        <f t="shared" si="138"/>
        <v xml:space="preserve"> </v>
      </c>
      <c r="I170" s="37"/>
      <c r="J170" s="37"/>
      <c r="K170" s="37"/>
      <c r="L170" s="37"/>
      <c r="M170" s="37"/>
    </row>
    <row r="171" spans="1:13" ht="60" x14ac:dyDescent="0.25">
      <c r="A171" s="17"/>
      <c r="B171" s="51" t="s">
        <v>320</v>
      </c>
      <c r="C171" s="37"/>
      <c r="D171" s="47"/>
      <c r="E171" s="37" t="str">
        <f t="shared" si="135"/>
        <v xml:space="preserve"> </v>
      </c>
      <c r="F171" s="37" t="str">
        <f t="shared" si="136"/>
        <v xml:space="preserve"> </v>
      </c>
      <c r="G171" s="37" t="str">
        <f t="shared" si="137"/>
        <v xml:space="preserve"> </v>
      </c>
      <c r="H171" s="37" t="str">
        <f t="shared" si="138"/>
        <v xml:space="preserve"> </v>
      </c>
      <c r="I171" s="37"/>
      <c r="J171" s="37"/>
      <c r="K171" s="37"/>
      <c r="L171" s="37"/>
      <c r="M171" s="37"/>
    </row>
    <row r="172" spans="1:13" ht="30" x14ac:dyDescent="0.25">
      <c r="A172" s="17" t="s">
        <v>321</v>
      </c>
      <c r="B172" s="51" t="s">
        <v>322</v>
      </c>
      <c r="C172" s="38">
        <v>0</v>
      </c>
      <c r="D172" s="47"/>
      <c r="E172" s="37" t="str">
        <f t="shared" ref="E172:E180" si="140">IF(J172=1,$I172," ")</f>
        <v xml:space="preserve"> </v>
      </c>
      <c r="F172" s="37" t="str">
        <f t="shared" ref="F172:F180" si="141">IF(K172=1,$I172," ")</f>
        <v xml:space="preserve"> </v>
      </c>
      <c r="G172" s="37" t="str">
        <f t="shared" ref="G172:G180" si="142">IF(L172=1,$I172," ")</f>
        <v xml:space="preserve"> </v>
      </c>
      <c r="H172" s="37" t="str">
        <f t="shared" ref="H172:H180" si="143">IF(M172=1,$I172," ")</f>
        <v xml:space="preserve"> </v>
      </c>
      <c r="I172" s="37"/>
      <c r="J172" s="37"/>
      <c r="K172" s="37"/>
      <c r="L172" s="37"/>
      <c r="M172" s="37"/>
    </row>
    <row r="173" spans="1:13" ht="30" x14ac:dyDescent="0.25">
      <c r="A173" s="17" t="s">
        <v>323</v>
      </c>
      <c r="B173" s="51" t="s">
        <v>324</v>
      </c>
      <c r="C173" s="38">
        <v>0</v>
      </c>
      <c r="D173" s="48" t="str">
        <f>IF(C173&lt;C172,"PLEASE CHECK","")</f>
        <v/>
      </c>
      <c r="E173" s="37" t="str">
        <f t="shared" si="140"/>
        <v xml:space="preserve"> </v>
      </c>
      <c r="F173" s="37" t="str">
        <f t="shared" si="141"/>
        <v xml:space="preserve"> </v>
      </c>
      <c r="G173" s="37" t="str">
        <f t="shared" si="142"/>
        <v xml:space="preserve"> </v>
      </c>
      <c r="H173" s="37" t="str">
        <f t="shared" si="143"/>
        <v xml:space="preserve"> </v>
      </c>
      <c r="I173" s="37"/>
      <c r="J173" s="37"/>
      <c r="K173" s="37"/>
      <c r="L173" s="37"/>
      <c r="M173" s="37"/>
    </row>
    <row r="174" spans="1:13" ht="30" x14ac:dyDescent="0.25">
      <c r="A174" s="17" t="s">
        <v>325</v>
      </c>
      <c r="B174" s="51" t="s">
        <v>230</v>
      </c>
      <c r="C174" s="38"/>
      <c r="D174" s="48" t="str">
        <f>IF(C174="",IF(C173&gt;0,"PLEASE INPUT",""),"")</f>
        <v/>
      </c>
      <c r="E174" s="37" t="str">
        <f t="shared" si="140"/>
        <v xml:space="preserve"> </v>
      </c>
      <c r="F174" s="37" t="str">
        <f t="shared" si="141"/>
        <v xml:space="preserve"> </v>
      </c>
      <c r="G174" s="37" t="str">
        <f t="shared" si="142"/>
        <v xml:space="preserve"> </v>
      </c>
      <c r="H174" s="37" t="str">
        <f t="shared" si="143"/>
        <v xml:space="preserve"> </v>
      </c>
      <c r="I174" s="37"/>
      <c r="J174" s="37"/>
      <c r="K174" s="37"/>
      <c r="L174" s="37"/>
      <c r="M174" s="37"/>
    </row>
    <row r="175" spans="1:13" x14ac:dyDescent="0.25">
      <c r="A175" s="17"/>
      <c r="B175" s="52" t="s">
        <v>88</v>
      </c>
      <c r="C175" s="37"/>
      <c r="D175" s="47">
        <v>2</v>
      </c>
      <c r="E175" s="37" t="str">
        <f t="shared" si="140"/>
        <v xml:space="preserve"> </v>
      </c>
      <c r="F175" s="37" t="str">
        <f t="shared" si="141"/>
        <v xml:space="preserve"> </v>
      </c>
      <c r="G175" s="37">
        <f t="shared" si="142"/>
        <v>2</v>
      </c>
      <c r="H175" s="37" t="str">
        <f t="shared" si="143"/>
        <v xml:space="preserve"> </v>
      </c>
      <c r="I175" s="37">
        <f>IF(COUNTIF(D173:D174,"")=2,IF(C173&gt;=C172,D175,0),0)</f>
        <v>2</v>
      </c>
      <c r="J175" s="37"/>
      <c r="K175" s="37"/>
      <c r="L175" s="37">
        <v>1</v>
      </c>
      <c r="M175" s="37"/>
    </row>
    <row r="176" spans="1:13" x14ac:dyDescent="0.25">
      <c r="A176" s="17"/>
      <c r="B176" s="52" t="s">
        <v>296</v>
      </c>
      <c r="C176" s="37"/>
      <c r="D176" s="47">
        <v>1</v>
      </c>
      <c r="E176" s="37" t="str">
        <f t="shared" si="140"/>
        <v xml:space="preserve"> </v>
      </c>
      <c r="F176" s="37" t="str">
        <f t="shared" si="141"/>
        <v xml:space="preserve"> </v>
      </c>
      <c r="G176" s="37">
        <f t="shared" si="142"/>
        <v>0</v>
      </c>
      <c r="H176" s="37" t="str">
        <f t="shared" si="143"/>
        <v xml:space="preserve"> </v>
      </c>
      <c r="I176" s="37">
        <f>IF(COUNTIF(D173:D174,"")=2,IF(C173&gt;C172,D176,0),0)</f>
        <v>0</v>
      </c>
      <c r="J176" s="37"/>
      <c r="K176" s="37"/>
      <c r="L176" s="37">
        <v>1</v>
      </c>
      <c r="M176" s="37"/>
    </row>
    <row r="177" spans="1:13" ht="30" x14ac:dyDescent="0.25">
      <c r="A177" s="17" t="s">
        <v>326</v>
      </c>
      <c r="B177" s="51" t="s">
        <v>327</v>
      </c>
      <c r="C177" s="38" t="s">
        <v>100</v>
      </c>
      <c r="D177" s="47">
        <v>0.5</v>
      </c>
      <c r="E177" s="37" t="str">
        <f t="shared" si="140"/>
        <v xml:space="preserve"> </v>
      </c>
      <c r="F177" s="37" t="str">
        <f t="shared" si="141"/>
        <v xml:space="preserve"> </v>
      </c>
      <c r="G177" s="37">
        <f t="shared" si="142"/>
        <v>0</v>
      </c>
      <c r="H177" s="37" t="str">
        <f t="shared" si="143"/>
        <v xml:space="preserve"> </v>
      </c>
      <c r="I177" s="37">
        <f t="shared" ref="I177:I178" si="144">IF(C177="Y",D177,0)</f>
        <v>0</v>
      </c>
      <c r="J177" s="37"/>
      <c r="K177" s="37"/>
      <c r="L177" s="37">
        <v>1</v>
      </c>
      <c r="M177" s="37"/>
    </row>
    <row r="178" spans="1:13" ht="30" x14ac:dyDescent="0.25">
      <c r="A178" s="17" t="s">
        <v>328</v>
      </c>
      <c r="B178" s="51" t="s">
        <v>329</v>
      </c>
      <c r="C178" s="38" t="s">
        <v>100</v>
      </c>
      <c r="D178" s="47">
        <v>0.5</v>
      </c>
      <c r="E178" s="37" t="str">
        <f t="shared" si="140"/>
        <v xml:space="preserve"> </v>
      </c>
      <c r="F178" s="37" t="str">
        <f t="shared" si="141"/>
        <v xml:space="preserve"> </v>
      </c>
      <c r="G178" s="37">
        <f t="shared" si="142"/>
        <v>0</v>
      </c>
      <c r="H178" s="37" t="str">
        <f t="shared" si="143"/>
        <v xml:space="preserve"> </v>
      </c>
      <c r="I178" s="37">
        <f t="shared" si="144"/>
        <v>0</v>
      </c>
      <c r="J178" s="37"/>
      <c r="K178" s="37"/>
      <c r="L178" s="37">
        <v>1</v>
      </c>
      <c r="M178" s="37"/>
    </row>
    <row r="179" spans="1:13" ht="30" x14ac:dyDescent="0.25">
      <c r="A179" s="65"/>
      <c r="B179" s="66" t="s">
        <v>330</v>
      </c>
      <c r="C179" s="37"/>
      <c r="D179" s="47"/>
      <c r="E179" s="37" t="str">
        <f t="shared" si="140"/>
        <v xml:space="preserve"> </v>
      </c>
      <c r="F179" s="37" t="str">
        <f t="shared" si="141"/>
        <v xml:space="preserve"> </v>
      </c>
      <c r="G179" s="37" t="str">
        <f t="shared" si="142"/>
        <v xml:space="preserve"> </v>
      </c>
      <c r="H179" s="37" t="str">
        <f t="shared" si="143"/>
        <v xml:space="preserve"> </v>
      </c>
      <c r="I179" s="37"/>
      <c r="J179" s="37"/>
      <c r="K179" s="37"/>
      <c r="L179" s="37"/>
      <c r="M179" s="37"/>
    </row>
    <row r="180" spans="1:13" ht="90" x14ac:dyDescent="0.25">
      <c r="A180" s="17"/>
      <c r="B180" s="33" t="s">
        <v>331</v>
      </c>
      <c r="C180" s="37"/>
      <c r="D180" s="47"/>
      <c r="E180" s="37" t="str">
        <f t="shared" si="140"/>
        <v xml:space="preserve"> </v>
      </c>
      <c r="F180" s="37" t="str">
        <f t="shared" si="141"/>
        <v xml:space="preserve"> </v>
      </c>
      <c r="G180" s="37" t="str">
        <f t="shared" si="142"/>
        <v xml:space="preserve"> </v>
      </c>
      <c r="H180" s="37" t="str">
        <f t="shared" si="143"/>
        <v xml:space="preserve"> </v>
      </c>
      <c r="I180" s="37"/>
      <c r="J180" s="37"/>
      <c r="K180" s="37"/>
      <c r="L180" s="37"/>
      <c r="M180" s="37"/>
    </row>
    <row r="181" spans="1:13" x14ac:dyDescent="0.25">
      <c r="A181" s="65" t="s">
        <v>332</v>
      </c>
      <c r="B181" s="66" t="s">
        <v>333</v>
      </c>
      <c r="C181" s="37"/>
      <c r="D181" s="47"/>
      <c r="E181" s="37" t="str">
        <f t="shared" ref="E181:E186" si="145">IF(J181=1,$I181," ")</f>
        <v xml:space="preserve"> </v>
      </c>
      <c r="F181" s="37" t="str">
        <f t="shared" ref="F181:F186" si="146">IF(K181=1,$I181," ")</f>
        <v xml:space="preserve"> </v>
      </c>
      <c r="G181" s="37" t="str">
        <f t="shared" ref="G181:G186" si="147">IF(L181=1,$I181," ")</f>
        <v xml:space="preserve"> </v>
      </c>
      <c r="H181" s="37" t="str">
        <f t="shared" ref="H181:H186" si="148">IF(M181=1,$I181," ")</f>
        <v xml:space="preserve"> </v>
      </c>
      <c r="I181" s="37"/>
      <c r="J181" s="37"/>
      <c r="K181" s="37"/>
      <c r="L181" s="37"/>
      <c r="M181" s="37"/>
    </row>
    <row r="182" spans="1:13" ht="30" x14ac:dyDescent="0.25">
      <c r="A182" s="17" t="s">
        <v>334</v>
      </c>
      <c r="B182" s="51" t="s">
        <v>335</v>
      </c>
      <c r="C182" s="38">
        <v>0</v>
      </c>
      <c r="D182" s="47"/>
      <c r="E182" s="37" t="str">
        <f t="shared" si="145"/>
        <v xml:space="preserve"> </v>
      </c>
      <c r="F182" s="37" t="str">
        <f t="shared" si="146"/>
        <v xml:space="preserve"> </v>
      </c>
      <c r="G182" s="37" t="str">
        <f t="shared" si="147"/>
        <v xml:space="preserve"> </v>
      </c>
      <c r="H182" s="37" t="str">
        <f t="shared" si="148"/>
        <v xml:space="preserve"> </v>
      </c>
      <c r="I182" s="37"/>
      <c r="J182" s="37"/>
      <c r="K182" s="37"/>
      <c r="L182" s="37"/>
      <c r="M182" s="37"/>
    </row>
    <row r="183" spans="1:13" ht="30" x14ac:dyDescent="0.25">
      <c r="A183" s="17" t="s">
        <v>336</v>
      </c>
      <c r="B183" s="51" t="s">
        <v>337</v>
      </c>
      <c r="C183" s="38">
        <v>0</v>
      </c>
      <c r="D183" s="48" t="str">
        <f>IF(C183&lt;C182,"PLEASE CHECK","")</f>
        <v/>
      </c>
      <c r="E183" s="37" t="str">
        <f t="shared" si="145"/>
        <v xml:space="preserve"> </v>
      </c>
      <c r="F183" s="37" t="str">
        <f t="shared" si="146"/>
        <v xml:space="preserve"> </v>
      </c>
      <c r="G183" s="37" t="str">
        <f t="shared" si="147"/>
        <v xml:space="preserve"> </v>
      </c>
      <c r="H183" s="37" t="str">
        <f t="shared" si="148"/>
        <v xml:space="preserve"> </v>
      </c>
      <c r="I183" s="37"/>
      <c r="J183" s="37"/>
      <c r="K183" s="37"/>
      <c r="L183" s="37"/>
      <c r="M183" s="37"/>
    </row>
    <row r="184" spans="1:13" x14ac:dyDescent="0.25">
      <c r="A184" s="17"/>
      <c r="B184" s="52" t="s">
        <v>88</v>
      </c>
      <c r="C184" s="37"/>
      <c r="D184" s="47">
        <v>0.5</v>
      </c>
      <c r="E184" s="37" t="str">
        <f t="shared" si="145"/>
        <v xml:space="preserve"> </v>
      </c>
      <c r="F184" s="37" t="str">
        <f t="shared" si="146"/>
        <v xml:space="preserve"> </v>
      </c>
      <c r="G184" s="37">
        <f t="shared" si="147"/>
        <v>0.5</v>
      </c>
      <c r="H184" s="37" t="str">
        <f t="shared" si="148"/>
        <v xml:space="preserve"> </v>
      </c>
      <c r="I184" s="37">
        <f>IF(COUNTIF(D183,"")=1,IF(C183&gt;=C182,D184,0),0)</f>
        <v>0.5</v>
      </c>
      <c r="J184" s="37"/>
      <c r="K184" s="37"/>
      <c r="L184" s="37">
        <v>1</v>
      </c>
      <c r="M184" s="37"/>
    </row>
    <row r="185" spans="1:13" x14ac:dyDescent="0.25">
      <c r="A185" s="17"/>
      <c r="B185" s="52" t="s">
        <v>296</v>
      </c>
      <c r="C185" s="37"/>
      <c r="D185" s="47">
        <v>0.5</v>
      </c>
      <c r="E185" s="37" t="str">
        <f t="shared" si="145"/>
        <v xml:space="preserve"> </v>
      </c>
      <c r="F185" s="37" t="str">
        <f t="shared" si="146"/>
        <v xml:space="preserve"> </v>
      </c>
      <c r="G185" s="37">
        <f t="shared" si="147"/>
        <v>0</v>
      </c>
      <c r="H185" s="37" t="str">
        <f t="shared" si="148"/>
        <v xml:space="preserve"> </v>
      </c>
      <c r="I185" s="37">
        <f>IF(COUNTIF(D183,"")=1,IF(C183&gt;C182,D185,0),0)</f>
        <v>0</v>
      </c>
      <c r="J185" s="37"/>
      <c r="K185" s="37"/>
      <c r="L185" s="37">
        <v>1</v>
      </c>
      <c r="M185" s="37"/>
    </row>
    <row r="186" spans="1:13" ht="60" x14ac:dyDescent="0.25">
      <c r="A186" s="65" t="s">
        <v>338</v>
      </c>
      <c r="B186" s="66" t="s">
        <v>339</v>
      </c>
      <c r="C186" s="37"/>
      <c r="D186" s="47"/>
      <c r="E186" s="37" t="str">
        <f t="shared" si="145"/>
        <v xml:space="preserve"> </v>
      </c>
      <c r="F186" s="37" t="str">
        <f t="shared" si="146"/>
        <v xml:space="preserve"> </v>
      </c>
      <c r="G186" s="37" t="str">
        <f t="shared" si="147"/>
        <v xml:space="preserve"> </v>
      </c>
      <c r="H186" s="37" t="str">
        <f t="shared" si="148"/>
        <v xml:space="preserve"> </v>
      </c>
      <c r="I186" s="37"/>
      <c r="J186" s="37"/>
      <c r="K186" s="37"/>
      <c r="L186" s="37"/>
      <c r="M186" s="37"/>
    </row>
    <row r="187" spans="1:13" ht="30" x14ac:dyDescent="0.25">
      <c r="A187" s="17" t="s">
        <v>340</v>
      </c>
      <c r="B187" s="51" t="s">
        <v>341</v>
      </c>
      <c r="C187" s="38">
        <v>0</v>
      </c>
      <c r="D187" s="47"/>
      <c r="E187" s="37" t="str">
        <f t="shared" ref="E187:E214" si="149">IF(J187=1,$I187," ")</f>
        <v xml:space="preserve"> </v>
      </c>
      <c r="F187" s="37" t="str">
        <f t="shared" ref="F187:F212" si="150">IF(K187=1,$I187," ")</f>
        <v xml:space="preserve"> </v>
      </c>
      <c r="G187" s="37" t="str">
        <f t="shared" ref="G187:G212" si="151">IF(L187=1,$I187," ")</f>
        <v xml:space="preserve"> </v>
      </c>
      <c r="H187" s="37" t="str">
        <f t="shared" ref="H187:H212" si="152">IF(M187=1,$I187," ")</f>
        <v xml:space="preserve"> </v>
      </c>
      <c r="I187" s="37"/>
      <c r="J187" s="37"/>
      <c r="K187" s="37"/>
      <c r="L187" s="37"/>
      <c r="M187" s="37"/>
    </row>
    <row r="188" spans="1:13" ht="30" x14ac:dyDescent="0.25">
      <c r="A188" s="17" t="s">
        <v>342</v>
      </c>
      <c r="B188" s="51" t="s">
        <v>343</v>
      </c>
      <c r="C188" s="38">
        <v>0</v>
      </c>
      <c r="D188" s="48" t="str">
        <f>IF(C188&lt;C187,"PLEASE CHECK","")</f>
        <v/>
      </c>
      <c r="E188" s="37" t="str">
        <f t="shared" si="149"/>
        <v xml:space="preserve"> </v>
      </c>
      <c r="F188" s="37" t="str">
        <f t="shared" si="150"/>
        <v xml:space="preserve"> </v>
      </c>
      <c r="G188" s="37" t="str">
        <f t="shared" si="151"/>
        <v xml:space="preserve"> </v>
      </c>
      <c r="H188" s="37" t="str">
        <f t="shared" si="152"/>
        <v xml:space="preserve"> </v>
      </c>
      <c r="I188" s="37"/>
      <c r="J188" s="37"/>
      <c r="K188" s="37"/>
      <c r="L188" s="37"/>
      <c r="M188" s="37"/>
    </row>
    <row r="189" spans="1:13" x14ac:dyDescent="0.25">
      <c r="A189" s="17"/>
      <c r="B189" s="52" t="s">
        <v>88</v>
      </c>
      <c r="C189" s="37"/>
      <c r="D189" s="47">
        <v>0.5</v>
      </c>
      <c r="E189" s="37" t="str">
        <f t="shared" si="149"/>
        <v xml:space="preserve"> </v>
      </c>
      <c r="F189" s="37" t="str">
        <f t="shared" si="150"/>
        <v xml:space="preserve"> </v>
      </c>
      <c r="G189" s="37">
        <f t="shared" si="151"/>
        <v>0.5</v>
      </c>
      <c r="H189" s="37" t="str">
        <f t="shared" si="152"/>
        <v xml:space="preserve"> </v>
      </c>
      <c r="I189" s="37">
        <f>IF(COUNTIF(D188,"")=1,IF(C188&gt;=C187,D189,0),0)</f>
        <v>0.5</v>
      </c>
      <c r="J189" s="37"/>
      <c r="K189" s="37"/>
      <c r="L189" s="37">
        <v>1</v>
      </c>
      <c r="M189" s="37"/>
    </row>
    <row r="190" spans="1:13" x14ac:dyDescent="0.25">
      <c r="A190" s="17"/>
      <c r="B190" s="52" t="s">
        <v>296</v>
      </c>
      <c r="C190" s="37"/>
      <c r="D190" s="47">
        <v>0.5</v>
      </c>
      <c r="E190" s="37" t="str">
        <f t="shared" si="149"/>
        <v xml:space="preserve"> </v>
      </c>
      <c r="F190" s="37" t="str">
        <f t="shared" si="150"/>
        <v xml:space="preserve"> </v>
      </c>
      <c r="G190" s="37">
        <f t="shared" si="151"/>
        <v>0</v>
      </c>
      <c r="H190" s="37" t="str">
        <f t="shared" si="152"/>
        <v xml:space="preserve"> </v>
      </c>
      <c r="I190" s="37">
        <f>IF(COUNTIF(D188,"")=1,IF(C188&gt;C187,D190,0),0)</f>
        <v>0</v>
      </c>
      <c r="J190" s="37"/>
      <c r="K190" s="37"/>
      <c r="L190" s="37">
        <v>1</v>
      </c>
      <c r="M190" s="37"/>
    </row>
    <row r="191" spans="1:13" x14ac:dyDescent="0.25">
      <c r="A191" s="65" t="s">
        <v>344</v>
      </c>
      <c r="B191" s="66" t="s">
        <v>345</v>
      </c>
      <c r="C191" s="37"/>
      <c r="D191" s="47"/>
      <c r="E191" s="37" t="str">
        <f t="shared" si="149"/>
        <v xml:space="preserve"> </v>
      </c>
      <c r="F191" s="37" t="str">
        <f t="shared" si="150"/>
        <v xml:space="preserve"> </v>
      </c>
      <c r="G191" s="37" t="str">
        <f t="shared" si="151"/>
        <v xml:space="preserve"> </v>
      </c>
      <c r="H191" s="37" t="str">
        <f t="shared" si="152"/>
        <v xml:space="preserve"> </v>
      </c>
      <c r="I191" s="37"/>
      <c r="J191" s="37"/>
      <c r="K191" s="37"/>
      <c r="L191" s="37"/>
      <c r="M191" s="37"/>
    </row>
    <row r="192" spans="1:13" ht="30" x14ac:dyDescent="0.25">
      <c r="A192" s="17" t="s">
        <v>346</v>
      </c>
      <c r="B192" s="51" t="s">
        <v>347</v>
      </c>
      <c r="C192" s="38">
        <v>0</v>
      </c>
      <c r="D192" s="47"/>
      <c r="E192" s="37" t="str">
        <f t="shared" si="149"/>
        <v xml:space="preserve"> </v>
      </c>
      <c r="F192" s="37" t="str">
        <f t="shared" si="150"/>
        <v xml:space="preserve"> </v>
      </c>
      <c r="G192" s="37" t="str">
        <f t="shared" si="151"/>
        <v xml:space="preserve"> </v>
      </c>
      <c r="H192" s="37" t="str">
        <f t="shared" si="152"/>
        <v xml:space="preserve"> </v>
      </c>
      <c r="I192" s="37"/>
      <c r="J192" s="37"/>
      <c r="K192" s="37"/>
      <c r="L192" s="37"/>
      <c r="M192" s="37"/>
    </row>
    <row r="193" spans="1:13" ht="30" x14ac:dyDescent="0.25">
      <c r="A193" s="17" t="s">
        <v>348</v>
      </c>
      <c r="B193" s="51" t="s">
        <v>349</v>
      </c>
      <c r="C193" s="38">
        <v>0</v>
      </c>
      <c r="D193" s="48" t="str">
        <f>IF(C193&lt;C192,"PLEASE CHECK","")</f>
        <v/>
      </c>
      <c r="E193" s="37" t="str">
        <f t="shared" si="149"/>
        <v xml:space="preserve"> </v>
      </c>
      <c r="F193" s="37" t="str">
        <f t="shared" si="150"/>
        <v xml:space="preserve"> </v>
      </c>
      <c r="G193" s="37" t="str">
        <f t="shared" si="151"/>
        <v xml:space="preserve"> </v>
      </c>
      <c r="H193" s="37" t="str">
        <f t="shared" si="152"/>
        <v xml:space="preserve"> </v>
      </c>
      <c r="I193" s="37"/>
      <c r="J193" s="37"/>
      <c r="K193" s="37"/>
      <c r="L193" s="37"/>
      <c r="M193" s="37"/>
    </row>
    <row r="194" spans="1:13" x14ac:dyDescent="0.25">
      <c r="A194" s="17"/>
      <c r="B194" s="52" t="s">
        <v>88</v>
      </c>
      <c r="C194" s="37"/>
      <c r="D194" s="47">
        <v>0.5</v>
      </c>
      <c r="E194" s="37" t="str">
        <f t="shared" si="149"/>
        <v xml:space="preserve"> </v>
      </c>
      <c r="F194" s="37" t="str">
        <f t="shared" si="150"/>
        <v xml:space="preserve"> </v>
      </c>
      <c r="G194" s="37">
        <f t="shared" si="151"/>
        <v>0.5</v>
      </c>
      <c r="H194" s="37" t="str">
        <f t="shared" si="152"/>
        <v xml:space="preserve"> </v>
      </c>
      <c r="I194" s="37">
        <f>IF(COUNTIF(D193,"")=1,IF(C193&gt;=C192,D194,0),0)</f>
        <v>0.5</v>
      </c>
      <c r="J194" s="37"/>
      <c r="K194" s="37"/>
      <c r="L194" s="37">
        <v>1</v>
      </c>
      <c r="M194" s="37"/>
    </row>
    <row r="195" spans="1:13" x14ac:dyDescent="0.25">
      <c r="A195" s="17"/>
      <c r="B195" s="52" t="s">
        <v>296</v>
      </c>
      <c r="C195" s="37"/>
      <c r="D195" s="47">
        <v>0.5</v>
      </c>
      <c r="E195" s="37" t="str">
        <f t="shared" si="149"/>
        <v xml:space="preserve"> </v>
      </c>
      <c r="F195" s="37" t="str">
        <f t="shared" si="150"/>
        <v xml:space="preserve"> </v>
      </c>
      <c r="G195" s="37">
        <f t="shared" si="151"/>
        <v>0</v>
      </c>
      <c r="H195" s="37" t="str">
        <f t="shared" si="152"/>
        <v xml:space="preserve"> </v>
      </c>
      <c r="I195" s="37">
        <f>IF(COUNTIF(D193,"")=1,IF(C193&gt;C192,D195,0),0)</f>
        <v>0</v>
      </c>
      <c r="J195" s="37"/>
      <c r="K195" s="37"/>
      <c r="L195" s="37">
        <v>1</v>
      </c>
      <c r="M195" s="37"/>
    </row>
    <row r="196" spans="1:13" ht="30" x14ac:dyDescent="0.25">
      <c r="A196" s="17" t="s">
        <v>350</v>
      </c>
      <c r="B196" s="51" t="s">
        <v>351</v>
      </c>
      <c r="C196" s="38" t="s">
        <v>100</v>
      </c>
      <c r="D196" s="47">
        <v>1</v>
      </c>
      <c r="E196" s="37" t="str">
        <f t="shared" si="149"/>
        <v xml:space="preserve"> </v>
      </c>
      <c r="F196" s="37" t="str">
        <f t="shared" si="150"/>
        <v xml:space="preserve"> </v>
      </c>
      <c r="G196" s="37">
        <f t="shared" si="151"/>
        <v>0</v>
      </c>
      <c r="H196" s="37" t="str">
        <f t="shared" si="152"/>
        <v xml:space="preserve"> </v>
      </c>
      <c r="I196" s="37">
        <f t="shared" ref="I196" si="153">IF(C196="Y",D196,0)</f>
        <v>0</v>
      </c>
      <c r="J196" s="37"/>
      <c r="K196" s="37"/>
      <c r="L196" s="37">
        <v>1</v>
      </c>
      <c r="M196" s="37"/>
    </row>
    <row r="197" spans="1:13" ht="45" x14ac:dyDescent="0.25">
      <c r="A197" s="65" t="s">
        <v>352</v>
      </c>
      <c r="B197" s="66" t="s">
        <v>353</v>
      </c>
      <c r="C197" s="37"/>
      <c r="D197" s="47"/>
      <c r="E197" s="37" t="str">
        <f t="shared" si="149"/>
        <v xml:space="preserve"> </v>
      </c>
      <c r="F197" s="37" t="str">
        <f t="shared" si="150"/>
        <v xml:space="preserve"> </v>
      </c>
      <c r="G197" s="37" t="str">
        <f t="shared" si="151"/>
        <v xml:space="preserve"> </v>
      </c>
      <c r="H197" s="37" t="str">
        <f t="shared" si="152"/>
        <v xml:space="preserve"> </v>
      </c>
      <c r="I197" s="37"/>
      <c r="J197" s="37"/>
      <c r="K197" s="37"/>
      <c r="L197" s="37"/>
      <c r="M197" s="37"/>
    </row>
    <row r="198" spans="1:13" ht="30" x14ac:dyDescent="0.25">
      <c r="A198" s="17" t="s">
        <v>354</v>
      </c>
      <c r="B198" s="51" t="s">
        <v>355</v>
      </c>
      <c r="C198" s="38">
        <v>0</v>
      </c>
      <c r="D198" s="47"/>
      <c r="E198" s="37" t="str">
        <f t="shared" si="149"/>
        <v xml:space="preserve"> </v>
      </c>
      <c r="F198" s="37" t="str">
        <f t="shared" si="150"/>
        <v xml:space="preserve"> </v>
      </c>
      <c r="G198" s="37" t="str">
        <f t="shared" si="151"/>
        <v xml:space="preserve"> </v>
      </c>
      <c r="H198" s="37" t="str">
        <f t="shared" si="152"/>
        <v xml:space="preserve"> </v>
      </c>
      <c r="I198" s="37"/>
      <c r="J198" s="37"/>
      <c r="K198" s="37"/>
      <c r="L198" s="37"/>
      <c r="M198" s="37"/>
    </row>
    <row r="199" spans="1:13" ht="30" x14ac:dyDescent="0.25">
      <c r="A199" s="17" t="s">
        <v>356</v>
      </c>
      <c r="B199" s="51" t="s">
        <v>357</v>
      </c>
      <c r="C199" s="38">
        <v>0</v>
      </c>
      <c r="D199" s="48" t="str">
        <f>IF(C199&lt;C198,"PLEASE CHECK","")</f>
        <v/>
      </c>
      <c r="E199" s="37" t="str">
        <f t="shared" si="149"/>
        <v xml:space="preserve"> </v>
      </c>
      <c r="F199" s="37" t="str">
        <f t="shared" si="150"/>
        <v xml:space="preserve"> </v>
      </c>
      <c r="G199" s="37" t="str">
        <f t="shared" si="151"/>
        <v xml:space="preserve"> </v>
      </c>
      <c r="H199" s="37" t="str">
        <f t="shared" si="152"/>
        <v xml:space="preserve"> </v>
      </c>
      <c r="I199" s="37"/>
      <c r="J199" s="37"/>
      <c r="K199" s="37"/>
      <c r="L199" s="37"/>
      <c r="M199" s="37"/>
    </row>
    <row r="200" spans="1:13" x14ac:dyDescent="0.25">
      <c r="A200" s="17"/>
      <c r="B200" s="52" t="s">
        <v>88</v>
      </c>
      <c r="C200" s="37"/>
      <c r="D200" s="47">
        <v>0.5</v>
      </c>
      <c r="E200" s="37" t="str">
        <f t="shared" si="149"/>
        <v xml:space="preserve"> </v>
      </c>
      <c r="F200" s="37" t="str">
        <f t="shared" si="150"/>
        <v xml:space="preserve"> </v>
      </c>
      <c r="G200" s="37">
        <f t="shared" si="151"/>
        <v>0.5</v>
      </c>
      <c r="H200" s="37" t="str">
        <f t="shared" si="152"/>
        <v xml:space="preserve"> </v>
      </c>
      <c r="I200" s="37">
        <f>IF(COUNTIF(D199,"")=1,IF(C199&gt;=C198,D200,0),0)</f>
        <v>0.5</v>
      </c>
      <c r="J200" s="37"/>
      <c r="K200" s="37"/>
      <c r="L200" s="37">
        <v>1</v>
      </c>
      <c r="M200" s="37"/>
    </row>
    <row r="201" spans="1:13" x14ac:dyDescent="0.25">
      <c r="A201" s="17"/>
      <c r="B201" s="52" t="s">
        <v>296</v>
      </c>
      <c r="C201" s="37"/>
      <c r="D201" s="47">
        <v>0.5</v>
      </c>
      <c r="E201" s="37" t="str">
        <f t="shared" si="149"/>
        <v xml:space="preserve"> </v>
      </c>
      <c r="F201" s="37" t="str">
        <f t="shared" si="150"/>
        <v xml:space="preserve"> </v>
      </c>
      <c r="G201" s="37">
        <f t="shared" si="151"/>
        <v>0</v>
      </c>
      <c r="H201" s="37" t="str">
        <f t="shared" si="152"/>
        <v xml:space="preserve"> </v>
      </c>
      <c r="I201" s="37">
        <f>IF(COUNTIF(D199,"")=1,IF(C199&gt;C198,D201,0),0)</f>
        <v>0</v>
      </c>
      <c r="J201" s="37"/>
      <c r="K201" s="37"/>
      <c r="L201" s="37">
        <v>1</v>
      </c>
      <c r="M201" s="37"/>
    </row>
    <row r="202" spans="1:13" x14ac:dyDescent="0.25">
      <c r="A202" s="65" t="s">
        <v>358</v>
      </c>
      <c r="B202" s="66" t="s">
        <v>359</v>
      </c>
      <c r="C202" s="37"/>
      <c r="D202" s="47"/>
      <c r="E202" s="37" t="str">
        <f t="shared" si="149"/>
        <v xml:space="preserve"> </v>
      </c>
      <c r="F202" s="37" t="str">
        <f t="shared" si="150"/>
        <v xml:space="preserve"> </v>
      </c>
      <c r="G202" s="37" t="str">
        <f t="shared" si="151"/>
        <v xml:space="preserve"> </v>
      </c>
      <c r="H202" s="37" t="str">
        <f t="shared" si="152"/>
        <v xml:space="preserve"> </v>
      </c>
      <c r="I202" s="37"/>
      <c r="J202" s="37"/>
      <c r="K202" s="37"/>
      <c r="L202" s="37"/>
      <c r="M202" s="37"/>
    </row>
    <row r="203" spans="1:13" ht="30" x14ac:dyDescent="0.25">
      <c r="A203" s="17" t="s">
        <v>360</v>
      </c>
      <c r="B203" s="51" t="s">
        <v>361</v>
      </c>
      <c r="C203" s="38">
        <v>0</v>
      </c>
      <c r="D203" s="47"/>
      <c r="E203" s="37" t="str">
        <f t="shared" si="149"/>
        <v xml:space="preserve"> </v>
      </c>
      <c r="F203" s="37" t="str">
        <f t="shared" si="150"/>
        <v xml:space="preserve"> </v>
      </c>
      <c r="G203" s="37" t="str">
        <f t="shared" si="151"/>
        <v xml:space="preserve"> </v>
      </c>
      <c r="H203" s="37" t="str">
        <f t="shared" si="152"/>
        <v xml:space="preserve"> </v>
      </c>
      <c r="I203" s="37"/>
      <c r="J203" s="37"/>
      <c r="K203" s="37"/>
      <c r="L203" s="37"/>
      <c r="M203" s="37"/>
    </row>
    <row r="204" spans="1:13" ht="30" x14ac:dyDescent="0.25">
      <c r="A204" s="17" t="s">
        <v>362</v>
      </c>
      <c r="B204" s="51" t="s">
        <v>363</v>
      </c>
      <c r="C204" s="38">
        <v>0</v>
      </c>
      <c r="D204" s="48" t="str">
        <f>IF(C204&lt;C203,"PLEASE CHECK","")</f>
        <v/>
      </c>
      <c r="E204" s="37" t="str">
        <f t="shared" si="149"/>
        <v xml:space="preserve"> </v>
      </c>
      <c r="F204" s="37" t="str">
        <f t="shared" si="150"/>
        <v xml:space="preserve"> </v>
      </c>
      <c r="G204" s="37" t="str">
        <f t="shared" si="151"/>
        <v xml:space="preserve"> </v>
      </c>
      <c r="H204" s="37" t="str">
        <f t="shared" si="152"/>
        <v xml:space="preserve"> </v>
      </c>
      <c r="I204" s="37"/>
      <c r="J204" s="37"/>
      <c r="K204" s="37"/>
      <c r="L204" s="37"/>
      <c r="M204" s="37"/>
    </row>
    <row r="205" spans="1:13" x14ac:dyDescent="0.25">
      <c r="A205" s="17"/>
      <c r="B205" s="52" t="s">
        <v>364</v>
      </c>
      <c r="C205" s="37"/>
      <c r="D205" s="47">
        <v>0.5</v>
      </c>
      <c r="E205" s="37" t="str">
        <f t="shared" si="149"/>
        <v xml:space="preserve"> </v>
      </c>
      <c r="F205" s="37" t="str">
        <f t="shared" si="150"/>
        <v xml:space="preserve"> </v>
      </c>
      <c r="G205" s="37">
        <f t="shared" si="151"/>
        <v>0.5</v>
      </c>
      <c r="H205" s="37" t="str">
        <f t="shared" si="152"/>
        <v xml:space="preserve"> </v>
      </c>
      <c r="I205" s="37">
        <f>IF(COUNTIF(D204,"")=1,IF(C204&gt;=C203,D205,0),0)</f>
        <v>0.5</v>
      </c>
      <c r="J205" s="37"/>
      <c r="K205" s="37"/>
      <c r="L205" s="37">
        <v>1</v>
      </c>
      <c r="M205" s="37"/>
    </row>
    <row r="206" spans="1:13" x14ac:dyDescent="0.25">
      <c r="A206" s="17"/>
      <c r="B206" s="52" t="s">
        <v>273</v>
      </c>
      <c r="C206" s="37"/>
      <c r="D206" s="47">
        <v>0.5</v>
      </c>
      <c r="E206" s="37" t="str">
        <f t="shared" si="149"/>
        <v xml:space="preserve"> </v>
      </c>
      <c r="F206" s="37" t="str">
        <f t="shared" si="150"/>
        <v xml:space="preserve"> </v>
      </c>
      <c r="G206" s="37">
        <f t="shared" si="151"/>
        <v>0</v>
      </c>
      <c r="H206" s="37" t="str">
        <f t="shared" si="152"/>
        <v xml:space="preserve"> </v>
      </c>
      <c r="I206" s="37">
        <f>IF(COUNTIF(D204,"")=1,IF(C204&gt;C203,D206,0),0)</f>
        <v>0</v>
      </c>
      <c r="J206" s="37"/>
      <c r="K206" s="37"/>
      <c r="L206" s="37">
        <v>1</v>
      </c>
      <c r="M206" s="37"/>
    </row>
    <row r="207" spans="1:13" x14ac:dyDescent="0.25">
      <c r="A207" s="65" t="s">
        <v>365</v>
      </c>
      <c r="B207" s="66" t="s">
        <v>366</v>
      </c>
      <c r="C207" s="37"/>
      <c r="D207" s="47"/>
      <c r="E207" s="37" t="str">
        <f t="shared" si="149"/>
        <v xml:space="preserve"> </v>
      </c>
      <c r="F207" s="37" t="str">
        <f t="shared" si="150"/>
        <v xml:space="preserve"> </v>
      </c>
      <c r="G207" s="37" t="str">
        <f t="shared" si="151"/>
        <v xml:space="preserve"> </v>
      </c>
      <c r="H207" s="37" t="str">
        <f t="shared" si="152"/>
        <v xml:space="preserve"> </v>
      </c>
      <c r="I207" s="37"/>
      <c r="J207" s="37"/>
      <c r="K207" s="37"/>
      <c r="L207" s="37"/>
      <c r="M207" s="37"/>
    </row>
    <row r="208" spans="1:13" ht="30" x14ac:dyDescent="0.25">
      <c r="A208" s="17" t="s">
        <v>367</v>
      </c>
      <c r="B208" s="51" t="s">
        <v>368</v>
      </c>
      <c r="C208" s="38">
        <v>0</v>
      </c>
      <c r="D208" s="47"/>
      <c r="E208" s="37" t="str">
        <f t="shared" si="149"/>
        <v xml:space="preserve"> </v>
      </c>
      <c r="F208" s="37" t="str">
        <f t="shared" si="150"/>
        <v xml:space="preserve"> </v>
      </c>
      <c r="G208" s="37" t="str">
        <f t="shared" si="151"/>
        <v xml:space="preserve"> </v>
      </c>
      <c r="H208" s="37" t="str">
        <f t="shared" si="152"/>
        <v xml:space="preserve"> </v>
      </c>
      <c r="I208" s="37"/>
      <c r="J208" s="37"/>
      <c r="K208" s="37"/>
      <c r="L208" s="37"/>
      <c r="M208" s="37"/>
    </row>
    <row r="209" spans="1:13" ht="30" x14ac:dyDescent="0.25">
      <c r="A209" s="17" t="s">
        <v>369</v>
      </c>
      <c r="B209" s="51" t="s">
        <v>370</v>
      </c>
      <c r="C209" s="38">
        <v>0</v>
      </c>
      <c r="D209" s="48" t="str">
        <f>IF(C209&lt;C208,"PLEASE CHECK","")</f>
        <v/>
      </c>
      <c r="E209" s="37" t="str">
        <f t="shared" si="149"/>
        <v xml:space="preserve"> </v>
      </c>
      <c r="F209" s="37" t="str">
        <f t="shared" si="150"/>
        <v xml:space="preserve"> </v>
      </c>
      <c r="G209" s="37" t="str">
        <f t="shared" si="151"/>
        <v xml:space="preserve"> </v>
      </c>
      <c r="H209" s="37" t="str">
        <f t="shared" si="152"/>
        <v xml:space="preserve"> </v>
      </c>
      <c r="I209" s="37"/>
      <c r="J209" s="37"/>
      <c r="K209" s="37"/>
      <c r="L209" s="37"/>
      <c r="M209" s="37"/>
    </row>
    <row r="210" spans="1:13" x14ac:dyDescent="0.25">
      <c r="A210" s="17"/>
      <c r="B210" s="52" t="s">
        <v>364</v>
      </c>
      <c r="C210" s="37"/>
      <c r="D210" s="47">
        <v>0.5</v>
      </c>
      <c r="E210" s="37" t="str">
        <f t="shared" si="149"/>
        <v xml:space="preserve"> </v>
      </c>
      <c r="F210" s="37" t="str">
        <f t="shared" si="150"/>
        <v xml:space="preserve"> </v>
      </c>
      <c r="G210" s="37">
        <f t="shared" si="151"/>
        <v>0.5</v>
      </c>
      <c r="H210" s="37" t="str">
        <f t="shared" si="152"/>
        <v xml:space="preserve"> </v>
      </c>
      <c r="I210" s="37">
        <f>IF(COUNTIF(D209,"")=1,IF(C209&gt;=C208,D210,0),0)</f>
        <v>0.5</v>
      </c>
      <c r="J210" s="37"/>
      <c r="K210" s="37"/>
      <c r="L210" s="37">
        <v>1</v>
      </c>
      <c r="M210" s="37"/>
    </row>
    <row r="211" spans="1:13" x14ac:dyDescent="0.25">
      <c r="A211" s="17"/>
      <c r="B211" s="52" t="s">
        <v>273</v>
      </c>
      <c r="C211" s="37"/>
      <c r="D211" s="47">
        <v>0.5</v>
      </c>
      <c r="E211" s="37" t="str">
        <f t="shared" si="149"/>
        <v xml:space="preserve"> </v>
      </c>
      <c r="F211" s="37" t="str">
        <f t="shared" si="150"/>
        <v xml:space="preserve"> </v>
      </c>
      <c r="G211" s="37">
        <f t="shared" si="151"/>
        <v>0</v>
      </c>
      <c r="H211" s="37" t="str">
        <f t="shared" si="152"/>
        <v xml:space="preserve"> </v>
      </c>
      <c r="I211" s="37">
        <f>IF(COUNTIF(D209,"")=1,IF(C209&gt;C208,D211,0),0)</f>
        <v>0</v>
      </c>
      <c r="J211" s="37"/>
      <c r="K211" s="37"/>
      <c r="L211" s="37">
        <v>1</v>
      </c>
      <c r="M211" s="37"/>
    </row>
    <row r="212" spans="1:13" x14ac:dyDescent="0.25">
      <c r="A212" s="17"/>
      <c r="B212" s="51"/>
      <c r="C212" s="37"/>
      <c r="D212" s="47"/>
      <c r="E212" s="37" t="str">
        <f t="shared" si="149"/>
        <v xml:space="preserve"> </v>
      </c>
      <c r="F212" s="37" t="str">
        <f t="shared" si="150"/>
        <v xml:space="preserve"> </v>
      </c>
      <c r="G212" s="37" t="str">
        <f t="shared" si="151"/>
        <v xml:space="preserve"> </v>
      </c>
      <c r="H212" s="37" t="str">
        <f t="shared" si="152"/>
        <v xml:space="preserve"> </v>
      </c>
      <c r="I212" s="37"/>
      <c r="J212" s="37"/>
      <c r="K212" s="37"/>
      <c r="L212" s="37"/>
      <c r="M212" s="37"/>
    </row>
    <row r="213" spans="1:13" ht="18.75" x14ac:dyDescent="0.25">
      <c r="A213" s="59" t="s">
        <v>371</v>
      </c>
      <c r="B213" s="58" t="s">
        <v>372</v>
      </c>
      <c r="C213" s="45"/>
      <c r="D213" s="46"/>
      <c r="E213" s="64">
        <f>IF(B214="",SUM(E214:E229),2)</f>
        <v>2</v>
      </c>
      <c r="F213" s="64">
        <f>IF(B214="",SUM(F214:F229),2)</f>
        <v>2</v>
      </c>
      <c r="G213" s="64">
        <f>IF(B214="",SUM(G214:G229),0)</f>
        <v>0</v>
      </c>
      <c r="H213" s="64">
        <f>IF(B214="",SUM(H214:H229),0)</f>
        <v>0</v>
      </c>
      <c r="I213" s="45"/>
      <c r="J213" s="45"/>
      <c r="K213" s="45"/>
      <c r="L213" s="45"/>
      <c r="M213" s="45"/>
    </row>
    <row r="214" spans="1:13" x14ac:dyDescent="0.25">
      <c r="A214" s="17"/>
      <c r="B214" s="53" t="str">
        <f>IF(SUM(Typologies!C11:C12)=0,"NOT APPLICABLE, PLEASE SKIP THIS PART","")</f>
        <v>NOT APPLICABLE, PLEASE SKIP THIS PART</v>
      </c>
      <c r="C214" s="37"/>
      <c r="D214" s="47"/>
      <c r="E214" s="37" t="str">
        <f t="shared" si="149"/>
        <v xml:space="preserve"> </v>
      </c>
      <c r="F214" s="37" t="str">
        <f t="shared" ref="F214" si="154">IF(K214=1,$I214," ")</f>
        <v xml:space="preserve"> </v>
      </c>
      <c r="G214" s="37" t="str">
        <f t="shared" ref="G214" si="155">IF(L214=1,$I214," ")</f>
        <v xml:space="preserve"> </v>
      </c>
      <c r="H214" s="37" t="str">
        <f t="shared" ref="H214" si="156">IF(M214=1,$I214," ")</f>
        <v xml:space="preserve"> </v>
      </c>
      <c r="I214" s="37"/>
      <c r="J214" s="37"/>
      <c r="K214" s="37"/>
      <c r="L214" s="37"/>
      <c r="M214" s="37"/>
    </row>
    <row r="215" spans="1:13" ht="30.75" customHeight="1" x14ac:dyDescent="0.25">
      <c r="A215" s="17" t="s">
        <v>373</v>
      </c>
      <c r="B215" s="51" t="s">
        <v>374</v>
      </c>
      <c r="C215" s="38"/>
      <c r="D215" s="48" t="str">
        <f>IF(B214="",IF(C215=0,"PLEASE CHECK",""),IF(C215=0,"","PLEASE CHECK"))</f>
        <v/>
      </c>
      <c r="E215" s="37" t="str">
        <f t="shared" ref="E215:E229" si="157">IF(J215=1,$I215," ")</f>
        <v xml:space="preserve"> </v>
      </c>
      <c r="F215" s="37" t="str">
        <f t="shared" ref="F215:F229" si="158">IF(K215=1,$I215," ")</f>
        <v xml:space="preserve"> </v>
      </c>
      <c r="G215" s="37" t="str">
        <f t="shared" ref="G215:G229" si="159">IF(L215=1,$I215," ")</f>
        <v xml:space="preserve"> </v>
      </c>
      <c r="H215" s="37" t="str">
        <f t="shared" ref="H215:H229" si="160">IF(M215=1,$I215," ")</f>
        <v xml:space="preserve"> </v>
      </c>
      <c r="I215" s="37"/>
      <c r="J215" s="37"/>
      <c r="K215" s="37"/>
      <c r="L215" s="37"/>
      <c r="M215" s="37"/>
    </row>
    <row r="216" spans="1:13" x14ac:dyDescent="0.25">
      <c r="A216" s="65" t="s">
        <v>375</v>
      </c>
      <c r="B216" s="66" t="s">
        <v>376</v>
      </c>
      <c r="C216" s="37"/>
      <c r="D216" s="47"/>
      <c r="E216" s="37" t="str">
        <f t="shared" si="157"/>
        <v xml:space="preserve"> </v>
      </c>
      <c r="F216" s="37" t="str">
        <f t="shared" si="158"/>
        <v xml:space="preserve"> </v>
      </c>
      <c r="G216" s="37" t="str">
        <f t="shared" si="159"/>
        <v xml:space="preserve"> </v>
      </c>
      <c r="H216" s="37" t="str">
        <f t="shared" si="160"/>
        <v xml:space="preserve"> </v>
      </c>
      <c r="I216" s="37"/>
      <c r="J216" s="37"/>
      <c r="K216" s="37"/>
      <c r="L216" s="37"/>
      <c r="M216" s="37"/>
    </row>
    <row r="217" spans="1:13" ht="30" x14ac:dyDescent="0.25">
      <c r="A217" s="17" t="s">
        <v>377</v>
      </c>
      <c r="B217" s="51" t="s">
        <v>378</v>
      </c>
      <c r="C217" s="37" t="str">
        <f>IF(B214&lt;&gt;"","N.A.",IF(C215=0,0,ROUNDUP(C215/100,0)))</f>
        <v>N.A.</v>
      </c>
      <c r="D217" s="47"/>
      <c r="E217" s="37" t="str">
        <f t="shared" si="157"/>
        <v xml:space="preserve"> </v>
      </c>
      <c r="F217" s="37" t="str">
        <f t="shared" si="158"/>
        <v xml:space="preserve"> </v>
      </c>
      <c r="G217" s="37" t="str">
        <f t="shared" si="159"/>
        <v xml:space="preserve"> </v>
      </c>
      <c r="H217" s="37" t="str">
        <f t="shared" si="160"/>
        <v xml:space="preserve"> </v>
      </c>
      <c r="I217" s="37"/>
      <c r="J217" s="37"/>
      <c r="K217" s="37"/>
      <c r="L217" s="37"/>
      <c r="M217" s="37"/>
    </row>
    <row r="218" spans="1:13" ht="30" x14ac:dyDescent="0.25">
      <c r="A218" s="17" t="s">
        <v>379</v>
      </c>
      <c r="B218" s="51" t="s">
        <v>380</v>
      </c>
      <c r="C218" s="38"/>
      <c r="D218" s="48" t="str">
        <f>IF(C217="N.A.","",IF(C218&lt;C217,"PLEASE CHECK",""))</f>
        <v/>
      </c>
      <c r="E218" s="37" t="str">
        <f t="shared" si="157"/>
        <v xml:space="preserve"> </v>
      </c>
      <c r="F218" s="37" t="str">
        <f t="shared" si="158"/>
        <v xml:space="preserve"> </v>
      </c>
      <c r="G218" s="37" t="str">
        <f t="shared" si="159"/>
        <v xml:space="preserve"> </v>
      </c>
      <c r="H218" s="37" t="str">
        <f t="shared" si="160"/>
        <v xml:space="preserve"> </v>
      </c>
      <c r="I218" s="37"/>
      <c r="J218" s="37"/>
      <c r="K218" s="37"/>
      <c r="L218" s="37"/>
      <c r="M218" s="37"/>
    </row>
    <row r="219" spans="1:13" ht="30" x14ac:dyDescent="0.25">
      <c r="A219" s="17" t="s">
        <v>381</v>
      </c>
      <c r="B219" s="51" t="s">
        <v>230</v>
      </c>
      <c r="C219" s="38"/>
      <c r="D219" s="48" t="str">
        <f>IF(C218&gt;0,IF(C219="","PLEASE INPUT",""),"")</f>
        <v/>
      </c>
      <c r="E219" s="37" t="str">
        <f t="shared" si="157"/>
        <v xml:space="preserve"> </v>
      </c>
      <c r="F219" s="37" t="str">
        <f t="shared" si="158"/>
        <v xml:space="preserve"> </v>
      </c>
      <c r="G219" s="37" t="str">
        <f t="shared" si="159"/>
        <v xml:space="preserve"> </v>
      </c>
      <c r="H219" s="37" t="str">
        <f t="shared" si="160"/>
        <v xml:space="preserve"> </v>
      </c>
      <c r="I219" s="37"/>
      <c r="J219" s="37"/>
      <c r="K219" s="37"/>
      <c r="L219" s="37"/>
      <c r="M219" s="37"/>
    </row>
    <row r="220" spans="1:13" x14ac:dyDescent="0.25">
      <c r="A220" s="17"/>
      <c r="B220" s="52" t="s">
        <v>364</v>
      </c>
      <c r="C220" s="37"/>
      <c r="D220" s="47">
        <v>2</v>
      </c>
      <c r="E220" s="37">
        <f t="shared" si="157"/>
        <v>2</v>
      </c>
      <c r="F220" s="37" t="str">
        <f t="shared" si="158"/>
        <v xml:space="preserve"> </v>
      </c>
      <c r="G220" s="37" t="str">
        <f t="shared" si="159"/>
        <v xml:space="preserve"> </v>
      </c>
      <c r="H220" s="37" t="str">
        <f t="shared" si="160"/>
        <v xml:space="preserve"> </v>
      </c>
      <c r="I220" s="37">
        <f>IF(B214&lt;&gt;"",D220,IF(COUNTIF(D215:D219,"")=5,IF(C218&gt;=C217,D220,0),0))</f>
        <v>2</v>
      </c>
      <c r="J220" s="37">
        <v>1</v>
      </c>
      <c r="K220" s="37"/>
      <c r="L220" s="37"/>
      <c r="M220" s="37"/>
    </row>
    <row r="221" spans="1:13" ht="30" x14ac:dyDescent="0.25">
      <c r="A221" s="17"/>
      <c r="B221" s="52" t="s">
        <v>563</v>
      </c>
      <c r="C221" s="37"/>
      <c r="D221" s="47">
        <v>1</v>
      </c>
      <c r="E221" s="37">
        <f t="shared" ref="E221" si="161">IF(J221=1,$I221," ")</f>
        <v>0</v>
      </c>
      <c r="F221" s="37" t="str">
        <f t="shared" ref="F221" si="162">IF(K221=1,$I221," ")</f>
        <v xml:space="preserve"> </v>
      </c>
      <c r="G221" s="37" t="str">
        <f t="shared" ref="G221" si="163">IF(L221=1,$I221," ")</f>
        <v xml:space="preserve"> </v>
      </c>
      <c r="H221" s="37" t="str">
        <f t="shared" ref="H221" si="164">IF(M221=1,$I221," ")</f>
        <v xml:space="preserve"> </v>
      </c>
      <c r="I221" s="37">
        <f>IF(B214="",IF(COUNTIF(D215:D219,"")=5,IF(C218&gt;C217,1,0),0),0)</f>
        <v>0</v>
      </c>
      <c r="J221" s="37">
        <v>1</v>
      </c>
      <c r="K221" s="37"/>
      <c r="L221" s="37"/>
      <c r="M221" s="37"/>
    </row>
    <row r="222" spans="1:13" ht="30" x14ac:dyDescent="0.25">
      <c r="A222" s="17"/>
      <c r="B222" s="52" t="s">
        <v>382</v>
      </c>
      <c r="C222" s="37"/>
      <c r="D222" s="47">
        <v>1</v>
      </c>
      <c r="E222" s="37">
        <f t="shared" si="157"/>
        <v>0</v>
      </c>
      <c r="F222" s="37" t="str">
        <f t="shared" si="158"/>
        <v xml:space="preserve"> </v>
      </c>
      <c r="G222" s="37" t="str">
        <f t="shared" si="159"/>
        <v xml:space="preserve"> </v>
      </c>
      <c r="H222" s="37" t="str">
        <f t="shared" si="160"/>
        <v xml:space="preserve"> </v>
      </c>
      <c r="I222" s="37">
        <f>IF(B214="",IF(COUNTIF(D215:D219,"")=5,IF(C218&gt;C217,IF((C218/C215)&gt;0.03,D222,0),0),0),0)</f>
        <v>0</v>
      </c>
      <c r="J222" s="37">
        <v>1</v>
      </c>
      <c r="K222" s="37"/>
      <c r="L222" s="37"/>
      <c r="M222" s="37"/>
    </row>
    <row r="223" spans="1:13" x14ac:dyDescent="0.25">
      <c r="A223" s="65" t="s">
        <v>383</v>
      </c>
      <c r="B223" s="66" t="s">
        <v>384</v>
      </c>
      <c r="C223" s="37"/>
      <c r="D223" s="47"/>
      <c r="E223" s="37" t="str">
        <f t="shared" si="157"/>
        <v xml:space="preserve"> </v>
      </c>
      <c r="F223" s="37" t="str">
        <f t="shared" si="158"/>
        <v xml:space="preserve"> </v>
      </c>
      <c r="G223" s="37" t="str">
        <f t="shared" si="159"/>
        <v xml:space="preserve"> </v>
      </c>
      <c r="H223" s="37" t="str">
        <f t="shared" si="160"/>
        <v xml:space="preserve"> </v>
      </c>
      <c r="I223" s="37"/>
      <c r="J223" s="37"/>
      <c r="K223" s="37"/>
      <c r="L223" s="37"/>
      <c r="M223" s="37"/>
    </row>
    <row r="224" spans="1:13" ht="30" x14ac:dyDescent="0.25">
      <c r="A224" s="17" t="s">
        <v>385</v>
      </c>
      <c r="B224" s="51" t="s">
        <v>386</v>
      </c>
      <c r="C224" s="37" t="str">
        <f>IF(B214&lt;&gt;"","N.A.",IF(Typologies!C12=0,IF(C215=0,0,ROUNDUP(C215/50,0)),0))</f>
        <v>N.A.</v>
      </c>
      <c r="D224" s="47"/>
      <c r="E224" s="37" t="str">
        <f t="shared" si="157"/>
        <v xml:space="preserve"> </v>
      </c>
      <c r="F224" s="37" t="str">
        <f t="shared" si="158"/>
        <v xml:space="preserve"> </v>
      </c>
      <c r="G224" s="37" t="str">
        <f t="shared" si="159"/>
        <v xml:space="preserve"> </v>
      </c>
      <c r="H224" s="37" t="str">
        <f t="shared" si="160"/>
        <v xml:space="preserve"> </v>
      </c>
      <c r="I224" s="37"/>
      <c r="J224" s="37"/>
      <c r="K224" s="37"/>
      <c r="L224" s="37"/>
      <c r="M224" s="37"/>
    </row>
    <row r="225" spans="1:13" ht="30" x14ac:dyDescent="0.25">
      <c r="A225" s="17" t="s">
        <v>387</v>
      </c>
      <c r="B225" s="51" t="s">
        <v>388</v>
      </c>
      <c r="C225" s="38"/>
      <c r="D225" s="48" t="str">
        <f>IF(C224="N.A.","",IF(C225&lt;C224,"PLEASE CHECK",""))</f>
        <v/>
      </c>
      <c r="E225" s="37" t="str">
        <f t="shared" si="157"/>
        <v xml:space="preserve"> </v>
      </c>
      <c r="F225" s="37" t="str">
        <f t="shared" si="158"/>
        <v xml:space="preserve"> </v>
      </c>
      <c r="G225" s="37" t="str">
        <f t="shared" si="159"/>
        <v xml:space="preserve"> </v>
      </c>
      <c r="H225" s="37" t="str">
        <f t="shared" si="160"/>
        <v xml:space="preserve"> </v>
      </c>
      <c r="I225" s="37"/>
      <c r="J225" s="37"/>
      <c r="K225" s="37"/>
      <c r="L225" s="37"/>
      <c r="M225" s="37"/>
    </row>
    <row r="226" spans="1:13" ht="30" x14ac:dyDescent="0.25">
      <c r="A226" s="17" t="s">
        <v>389</v>
      </c>
      <c r="B226" s="51" t="s">
        <v>230</v>
      </c>
      <c r="C226" s="38"/>
      <c r="D226" s="48" t="str">
        <f>IF(C225&gt;0,IF(C226="","PLEASE INPUT",""),"")</f>
        <v/>
      </c>
      <c r="E226" s="37" t="str">
        <f t="shared" si="157"/>
        <v xml:space="preserve"> </v>
      </c>
      <c r="F226" s="37" t="str">
        <f t="shared" si="158"/>
        <v xml:space="preserve"> </v>
      </c>
      <c r="G226" s="37" t="str">
        <f t="shared" si="159"/>
        <v xml:space="preserve"> </v>
      </c>
      <c r="H226" s="37" t="str">
        <f t="shared" si="160"/>
        <v xml:space="preserve"> </v>
      </c>
      <c r="I226" s="37"/>
      <c r="J226" s="37"/>
      <c r="K226" s="37"/>
      <c r="L226" s="37"/>
      <c r="M226" s="37"/>
    </row>
    <row r="227" spans="1:13" x14ac:dyDescent="0.25">
      <c r="A227" s="17"/>
      <c r="B227" s="52" t="s">
        <v>364</v>
      </c>
      <c r="C227" s="37"/>
      <c r="D227" s="47">
        <v>2</v>
      </c>
      <c r="E227" s="37" t="str">
        <f t="shared" si="157"/>
        <v xml:space="preserve"> </v>
      </c>
      <c r="F227" s="37">
        <f t="shared" si="158"/>
        <v>2</v>
      </c>
      <c r="G227" s="37" t="str">
        <f t="shared" si="159"/>
        <v xml:space="preserve"> </v>
      </c>
      <c r="H227" s="37" t="str">
        <f t="shared" si="160"/>
        <v xml:space="preserve"> </v>
      </c>
      <c r="I227" s="37">
        <f>IF(C224="N.A.",D227,IF(COUNTIF(D224:D226,"")=3,IF(C225&gt;=C224,D227,0),0))</f>
        <v>2</v>
      </c>
      <c r="J227" s="37"/>
      <c r="K227" s="37">
        <v>1</v>
      </c>
      <c r="L227" s="37"/>
      <c r="M227" s="37"/>
    </row>
    <row r="228" spans="1:13" ht="30" x14ac:dyDescent="0.25">
      <c r="A228" s="17"/>
      <c r="B228" s="52" t="s">
        <v>564</v>
      </c>
      <c r="C228" s="37"/>
      <c r="D228" s="47">
        <v>1</v>
      </c>
      <c r="E228" s="37" t="str">
        <f t="shared" ref="E228" si="165">IF(J228=1,$I228," ")</f>
        <v xml:space="preserve"> </v>
      </c>
      <c r="F228" s="37">
        <f t="shared" ref="F228" si="166">IF(K228=1,$I228," ")</f>
        <v>0</v>
      </c>
      <c r="G228" s="37" t="str">
        <f t="shared" ref="G228" si="167">IF(L228=1,$I228," ")</f>
        <v xml:space="preserve"> </v>
      </c>
      <c r="H228" s="37" t="str">
        <f t="shared" ref="H228" si="168">IF(M228=1,$I228," ")</f>
        <v xml:space="preserve"> </v>
      </c>
      <c r="I228" s="37">
        <f>IF(B214="",IF(COUNTIF(D224:D226,"")=3,IF(C225&gt;C224,1,0),0),0)</f>
        <v>0</v>
      </c>
      <c r="J228" s="37"/>
      <c r="K228" s="37">
        <v>1</v>
      </c>
      <c r="L228" s="37"/>
      <c r="M228" s="37"/>
    </row>
    <row r="229" spans="1:13" ht="30" x14ac:dyDescent="0.25">
      <c r="A229" s="17"/>
      <c r="B229" s="52" t="s">
        <v>390</v>
      </c>
      <c r="C229" s="37"/>
      <c r="D229" s="47">
        <v>1</v>
      </c>
      <c r="E229" s="37" t="str">
        <f t="shared" si="157"/>
        <v xml:space="preserve"> </v>
      </c>
      <c r="F229" s="37">
        <f t="shared" si="158"/>
        <v>0</v>
      </c>
      <c r="G229" s="37" t="str">
        <f t="shared" si="159"/>
        <v xml:space="preserve"> </v>
      </c>
      <c r="H229" s="37" t="str">
        <f t="shared" si="160"/>
        <v xml:space="preserve"> </v>
      </c>
      <c r="I229" s="37">
        <f>IF(B214="",IF(COUNTIF(D224:D226,"")=3,IF(C225&gt;C224,IF((C225/C215)&gt;0.05,D229,0),0),0),0)</f>
        <v>0</v>
      </c>
      <c r="J229" s="37"/>
      <c r="K229" s="37">
        <v>1</v>
      </c>
      <c r="L229" s="37"/>
      <c r="M229" s="37"/>
    </row>
    <row r="230" spans="1:13" ht="15.75" thickBot="1" x14ac:dyDescent="0.3"/>
    <row r="231" spans="1:13" ht="45" x14ac:dyDescent="0.25">
      <c r="C231" s="32"/>
      <c r="D231" s="30"/>
      <c r="E231" s="26" t="str">
        <f t="shared" ref="E231:H232" si="169">E3</f>
        <v>For Persons with Disabilities</v>
      </c>
      <c r="F231" s="26" t="str">
        <f t="shared" si="169"/>
        <v>For the Elderly</v>
      </c>
      <c r="G231" s="26" t="str">
        <f t="shared" si="169"/>
        <v>For Families with Young Children</v>
      </c>
      <c r="H231" s="27" t="str">
        <f t="shared" si="169"/>
        <v>For Expectant / Nursing Mothers</v>
      </c>
    </row>
    <row r="232" spans="1:13" ht="24" thickBot="1" x14ac:dyDescent="0.3">
      <c r="C232" s="34" t="str">
        <f>C4</f>
        <v>Total Points Scored</v>
      </c>
      <c r="D232" s="31"/>
      <c r="E232" s="28">
        <f t="shared" si="169"/>
        <v>24</v>
      </c>
      <c r="F232" s="28">
        <f t="shared" si="169"/>
        <v>24</v>
      </c>
      <c r="G232" s="28">
        <f t="shared" si="169"/>
        <v>19</v>
      </c>
      <c r="H232" s="29">
        <f t="shared" si="169"/>
        <v>14</v>
      </c>
    </row>
  </sheetData>
  <sheetProtection algorithmName="SHA-512" hashValue="ThtapLb2O64DdtlGgF5fK2B73hprmwEkgff0qhHxg/1Xu32Vh2ipmKbAwZ95+4/+jsSLJBjMMlpeovoPiNqXQQ==" saltValue="r4hpkV57LgYAhWRRZOiy2Q==" spinCount="100000" sheet="1" objects="1" scenarios="1"/>
  <protectedRanges>
    <protectedRange sqref="C215 C217:C219 C224:C226" name="H"/>
    <protectedRange sqref="C108:C110 C113:C114 C121:C125" name="D_E"/>
    <protectedRange sqref="C9 C11:C12 C17:C18 C23:C24 C27:C31 C33 C35:C36 C40 C42:C43 C47" name="A"/>
    <protectedRange sqref="C51:C52 C54:C56 C58:C61 C63:C67 C69:C72 C74:C76 C79:C82 C84:C87 C91:C94 C97:C99 C101:C103" name="B_C"/>
    <protectedRange sqref="C129:C130 C134:C136 C139 C141:C142 C147:C148 C152 C157:C159 C163:C165 C208:C209 C172:C174 C177:C178 C182:C183 C187:C188 C192:C193 C196 C198:C199 C203:C204 C168:C169" name="F_G"/>
  </protectedRanges>
  <conditionalFormatting sqref="E8:H47 E155:H212">
    <cfRule type="cellIs" dxfId="21" priority="19" stopIfTrue="1" operator="equal">
      <formula>" "</formula>
    </cfRule>
    <cfRule type="cellIs" dxfId="20" priority="20" operator="greaterThan">
      <formula>0</formula>
    </cfRule>
  </conditionalFormatting>
  <conditionalFormatting sqref="E50:H88">
    <cfRule type="cellIs" dxfId="19" priority="15" stopIfTrue="1" operator="equal">
      <formula>" "</formula>
    </cfRule>
    <cfRule type="cellIs" dxfId="18" priority="16" operator="greaterThan">
      <formula>0</formula>
    </cfRule>
  </conditionalFormatting>
  <conditionalFormatting sqref="E90:H104">
    <cfRule type="cellIs" dxfId="17" priority="13" stopIfTrue="1" operator="equal">
      <formula>" "</formula>
    </cfRule>
    <cfRule type="cellIs" dxfId="16" priority="14" operator="greaterThan">
      <formula>0</formula>
    </cfRule>
  </conditionalFormatting>
  <conditionalFormatting sqref="E106:H118">
    <cfRule type="cellIs" dxfId="15" priority="9" stopIfTrue="1" operator="equal">
      <formula>" "</formula>
    </cfRule>
    <cfRule type="cellIs" dxfId="14" priority="10" operator="greaterThan">
      <formula>0</formula>
    </cfRule>
  </conditionalFormatting>
  <conditionalFormatting sqref="E120:H126">
    <cfRule type="cellIs" dxfId="13" priority="7" stopIfTrue="1" operator="equal">
      <formula>" "</formula>
    </cfRule>
    <cfRule type="cellIs" dxfId="12" priority="8" operator="greaterThan">
      <formula>0</formula>
    </cfRule>
  </conditionalFormatting>
  <conditionalFormatting sqref="E128:H153">
    <cfRule type="cellIs" dxfId="11" priority="5" stopIfTrue="1" operator="equal">
      <formula>" "</formula>
    </cfRule>
    <cfRule type="cellIs" dxfId="10" priority="6" operator="greaterThan">
      <formula>0</formula>
    </cfRule>
  </conditionalFormatting>
  <conditionalFormatting sqref="E214:H229">
    <cfRule type="cellIs" dxfId="9" priority="1" stopIfTrue="1" operator="equal">
      <formula>" "</formula>
    </cfRule>
    <cfRule type="cellIs" dxfId="8"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2">
        <x14:dataValidation type="list" errorStyle="warning" showInputMessage="1" showErrorMessage="1" xr:uid="{EAC7F463-0452-432E-B73D-9EF08BD64B86}">
          <x14:formula1>
            <xm:f>References!$A$1:$A$2</xm:f>
          </x14:formula1>
          <xm:sqref>C196 C51:C52 C54:C56 C58:C61 C63:C67 C79:C82 C84:C87 C23:C24 C121:C125 C152 C168:C169 C177:C178 C27:C31 C69:C72 C139 C91:C94 C103 C101 C97:C99</xm:sqref>
        </x14:dataValidation>
        <x14:dataValidation type="list" allowBlank="1" showInputMessage="1" showErrorMessage="1" xr:uid="{CF7D1FA1-FA7A-41BE-BAE9-839B27669054}">
          <x14:formula1>
            <xm:f>References!$A$4:$A$6</xm:f>
          </x14:formula1>
          <xm:sqref>C113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654C-12E7-4820-AB01-406E7BA4C165}">
  <dimension ref="A1:M57"/>
  <sheetViews>
    <sheetView zoomScaleNormal="100" workbookViewId="0">
      <selection activeCell="C8" sqref="C8"/>
    </sheetView>
  </sheetViews>
  <sheetFormatPr defaultRowHeight="15" x14ac:dyDescent="0.25"/>
  <cols>
    <col min="1" max="1" width="7.28515625" style="35" customWidth="1"/>
    <col min="2" max="2" width="32.5703125" style="1" customWidth="1"/>
    <col min="3" max="3" width="8.7109375" style="21" customWidth="1"/>
    <col min="4" max="4" width="7.5703125" customWidth="1"/>
    <col min="9" max="13" width="9.140625" hidden="1" customWidth="1"/>
  </cols>
  <sheetData>
    <row r="1" spans="1:13" ht="23.25" x14ac:dyDescent="0.25">
      <c r="A1" s="22" t="s">
        <v>391</v>
      </c>
      <c r="B1" s="23"/>
      <c r="D1" s="20"/>
      <c r="E1" s="21"/>
      <c r="F1" s="21"/>
      <c r="G1" s="21"/>
      <c r="H1" s="21"/>
    </row>
    <row r="2" spans="1:13" ht="15.75" thickBot="1" x14ac:dyDescent="0.3">
      <c r="A2" s="24"/>
      <c r="B2" s="23"/>
      <c r="D2" s="20"/>
      <c r="E2" s="21"/>
      <c r="F2" s="21"/>
      <c r="G2" s="21"/>
      <c r="H2" s="21"/>
    </row>
    <row r="3" spans="1:13" ht="45" x14ac:dyDescent="0.25">
      <c r="A3" s="24"/>
      <c r="B3" s="23"/>
      <c r="C3" s="32"/>
      <c r="D3" s="30"/>
      <c r="E3" s="26" t="s">
        <v>62</v>
      </c>
      <c r="F3" s="26" t="s">
        <v>63</v>
      </c>
      <c r="G3" s="26" t="s">
        <v>64</v>
      </c>
      <c r="H3" s="27" t="s">
        <v>65</v>
      </c>
    </row>
    <row r="4" spans="1:13" ht="32.1" customHeight="1" thickBot="1" x14ac:dyDescent="0.3">
      <c r="A4" s="24"/>
      <c r="B4" s="23"/>
      <c r="C4" s="34" t="s">
        <v>66</v>
      </c>
      <c r="D4" s="31"/>
      <c r="E4" s="28">
        <f>E7+E20+E41</f>
        <v>0</v>
      </c>
      <c r="F4" s="28">
        <f t="shared" ref="F4:H4" si="0">F7+F20+F41</f>
        <v>0</v>
      </c>
      <c r="G4" s="28">
        <f t="shared" si="0"/>
        <v>0</v>
      </c>
      <c r="H4" s="29">
        <f t="shared" si="0"/>
        <v>0</v>
      </c>
    </row>
    <row r="5" spans="1:13" x14ac:dyDescent="0.25">
      <c r="A5" s="24"/>
      <c r="B5" s="23"/>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3">
      <c r="A7" s="43" t="s">
        <v>392</v>
      </c>
      <c r="B7" s="44" t="s">
        <v>393</v>
      </c>
      <c r="C7" s="64"/>
      <c r="D7" s="64"/>
      <c r="E7" s="64">
        <f>SUM(E8:E18)</f>
        <v>0</v>
      </c>
      <c r="F7" s="64">
        <f t="shared" ref="F7:H7" si="1">SUM(F8:F18)</f>
        <v>0</v>
      </c>
      <c r="G7" s="64">
        <f t="shared" si="1"/>
        <v>0</v>
      </c>
      <c r="H7" s="64">
        <f t="shared" si="1"/>
        <v>0</v>
      </c>
      <c r="I7" s="45"/>
      <c r="J7" s="45"/>
      <c r="K7" s="45"/>
      <c r="L7" s="45"/>
      <c r="M7" s="45"/>
    </row>
    <row r="8" spans="1:13" ht="30" x14ac:dyDescent="0.25">
      <c r="A8" s="42" t="s">
        <v>394</v>
      </c>
      <c r="B8" s="39" t="s">
        <v>395</v>
      </c>
      <c r="C8" s="38" t="s">
        <v>100</v>
      </c>
      <c r="D8" s="37">
        <v>1</v>
      </c>
      <c r="E8" s="37">
        <f>IF(J8=1,$I8," ")</f>
        <v>0</v>
      </c>
      <c r="F8" s="37">
        <f>IF(K8=1,$I8," ")</f>
        <v>0</v>
      </c>
      <c r="G8" s="37" t="str">
        <f t="shared" ref="G8:H8" si="2">IF(L8=1,$I8," ")</f>
        <v xml:space="preserve"> </v>
      </c>
      <c r="H8" s="37" t="str">
        <f t="shared" si="2"/>
        <v xml:space="preserve"> </v>
      </c>
      <c r="I8" s="37">
        <f>IF(C8="Y",D8,0)</f>
        <v>0</v>
      </c>
      <c r="J8" s="37">
        <v>1</v>
      </c>
      <c r="K8" s="37">
        <v>1</v>
      </c>
      <c r="L8" s="37"/>
      <c r="M8" s="37"/>
    </row>
    <row r="9" spans="1:13" ht="30" x14ac:dyDescent="0.25">
      <c r="A9" s="42" t="s">
        <v>396</v>
      </c>
      <c r="B9" s="39" t="s">
        <v>397</v>
      </c>
      <c r="C9" s="38" t="s">
        <v>100</v>
      </c>
      <c r="D9" s="37">
        <v>1</v>
      </c>
      <c r="E9" s="37">
        <f t="shared" ref="E9:E18" si="3">IF(J9=1,$I9," ")</f>
        <v>0</v>
      </c>
      <c r="F9" s="37" t="str">
        <f t="shared" ref="F9:F18" si="4">IF(K9=1,$I9," ")</f>
        <v xml:space="preserve"> </v>
      </c>
      <c r="G9" s="37" t="str">
        <f t="shared" ref="G9:G18" si="5">IF(L9=1,$I9," ")</f>
        <v xml:space="preserve"> </v>
      </c>
      <c r="H9" s="37" t="str">
        <f t="shared" ref="H9:H18" si="6">IF(M9=1,$I9," ")</f>
        <v xml:space="preserve"> </v>
      </c>
      <c r="I9" s="37">
        <f t="shared" ref="I9:I54" si="7">IF(C9="Y",D9,0)</f>
        <v>0</v>
      </c>
      <c r="J9" s="37">
        <v>1</v>
      </c>
      <c r="K9" s="37"/>
      <c r="L9" s="37"/>
      <c r="M9" s="37"/>
    </row>
    <row r="10" spans="1:13" ht="30" x14ac:dyDescent="0.25">
      <c r="A10" s="42" t="s">
        <v>398</v>
      </c>
      <c r="B10" s="39" t="s">
        <v>399</v>
      </c>
      <c r="C10" s="38" t="s">
        <v>100</v>
      </c>
      <c r="D10" s="37">
        <v>0.5</v>
      </c>
      <c r="E10" s="37" t="str">
        <f t="shared" si="3"/>
        <v xml:space="preserve"> </v>
      </c>
      <c r="F10" s="37">
        <f t="shared" si="4"/>
        <v>0</v>
      </c>
      <c r="G10" s="37" t="str">
        <f t="shared" si="5"/>
        <v xml:space="preserve"> </v>
      </c>
      <c r="H10" s="37" t="str">
        <f t="shared" si="6"/>
        <v xml:space="preserve"> </v>
      </c>
      <c r="I10" s="37">
        <f t="shared" si="7"/>
        <v>0</v>
      </c>
      <c r="J10" s="37"/>
      <c r="K10" s="37">
        <v>1</v>
      </c>
      <c r="L10" s="37"/>
      <c r="M10" s="37"/>
    </row>
    <row r="11" spans="1:13" ht="45" x14ac:dyDescent="0.25">
      <c r="A11" s="42" t="s">
        <v>400</v>
      </c>
      <c r="B11" s="39" t="s">
        <v>401</v>
      </c>
      <c r="C11" s="38" t="s">
        <v>100</v>
      </c>
      <c r="D11" s="37">
        <v>0.5</v>
      </c>
      <c r="E11" s="37">
        <f t="shared" si="3"/>
        <v>0</v>
      </c>
      <c r="F11" s="37">
        <f t="shared" si="4"/>
        <v>0</v>
      </c>
      <c r="G11" s="37">
        <f t="shared" si="5"/>
        <v>0</v>
      </c>
      <c r="H11" s="37" t="str">
        <f t="shared" si="6"/>
        <v xml:space="preserve"> </v>
      </c>
      <c r="I11" s="37">
        <f t="shared" si="7"/>
        <v>0</v>
      </c>
      <c r="J11" s="37">
        <v>1</v>
      </c>
      <c r="K11" s="37">
        <v>1</v>
      </c>
      <c r="L11" s="37">
        <v>1</v>
      </c>
      <c r="M11" s="37"/>
    </row>
    <row r="12" spans="1:13" ht="45" x14ac:dyDescent="0.25">
      <c r="A12" s="42" t="s">
        <v>402</v>
      </c>
      <c r="B12" s="39" t="s">
        <v>403</v>
      </c>
      <c r="C12" s="38" t="s">
        <v>100</v>
      </c>
      <c r="D12" s="37">
        <v>1</v>
      </c>
      <c r="E12" s="37">
        <f t="shared" si="3"/>
        <v>0</v>
      </c>
      <c r="F12" s="37" t="str">
        <f t="shared" si="4"/>
        <v xml:space="preserve"> </v>
      </c>
      <c r="G12" s="37">
        <f t="shared" si="5"/>
        <v>0</v>
      </c>
      <c r="H12" s="37" t="str">
        <f t="shared" si="6"/>
        <v xml:space="preserve"> </v>
      </c>
      <c r="I12" s="37">
        <f t="shared" si="7"/>
        <v>0</v>
      </c>
      <c r="J12" s="37">
        <v>1</v>
      </c>
      <c r="K12" s="37"/>
      <c r="L12" s="37">
        <v>1</v>
      </c>
      <c r="M12" s="37"/>
    </row>
    <row r="13" spans="1:13" ht="45" x14ac:dyDescent="0.25">
      <c r="A13" s="42" t="s">
        <v>404</v>
      </c>
      <c r="B13" s="39" t="s">
        <v>405</v>
      </c>
      <c r="C13" s="38" t="s">
        <v>100</v>
      </c>
      <c r="D13" s="37">
        <v>1</v>
      </c>
      <c r="E13" s="37">
        <f t="shared" si="3"/>
        <v>0</v>
      </c>
      <c r="F13" s="37">
        <f t="shared" si="4"/>
        <v>0</v>
      </c>
      <c r="G13" s="37" t="str">
        <f t="shared" si="5"/>
        <v xml:space="preserve"> </v>
      </c>
      <c r="H13" s="37" t="str">
        <f t="shared" si="6"/>
        <v xml:space="preserve"> </v>
      </c>
      <c r="I13" s="37">
        <f t="shared" si="7"/>
        <v>0</v>
      </c>
      <c r="J13" s="37">
        <v>1</v>
      </c>
      <c r="K13" s="37">
        <v>1</v>
      </c>
      <c r="L13" s="37"/>
      <c r="M13" s="37"/>
    </row>
    <row r="14" spans="1:13" ht="75" x14ac:dyDescent="0.25">
      <c r="A14" s="42" t="s">
        <v>406</v>
      </c>
      <c r="B14" s="39" t="s">
        <v>407</v>
      </c>
      <c r="C14" s="38" t="s">
        <v>100</v>
      </c>
      <c r="D14" s="37">
        <v>0.5</v>
      </c>
      <c r="E14" s="37">
        <f t="shared" si="3"/>
        <v>0</v>
      </c>
      <c r="F14" s="37" t="str">
        <f t="shared" si="4"/>
        <v xml:space="preserve"> </v>
      </c>
      <c r="G14" s="37" t="str">
        <f t="shared" si="5"/>
        <v xml:space="preserve"> </v>
      </c>
      <c r="H14" s="37" t="str">
        <f t="shared" si="6"/>
        <v xml:space="preserve"> </v>
      </c>
      <c r="I14" s="37">
        <f t="shared" si="7"/>
        <v>0</v>
      </c>
      <c r="J14" s="37">
        <v>1</v>
      </c>
      <c r="K14" s="37"/>
      <c r="L14" s="37"/>
      <c r="M14" s="37"/>
    </row>
    <row r="15" spans="1:13" ht="30" x14ac:dyDescent="0.25">
      <c r="A15" s="42" t="s">
        <v>408</v>
      </c>
      <c r="B15" s="39" t="s">
        <v>409</v>
      </c>
      <c r="C15" s="38" t="s">
        <v>100</v>
      </c>
      <c r="D15" s="37">
        <v>1</v>
      </c>
      <c r="E15" s="37">
        <f t="shared" si="3"/>
        <v>0</v>
      </c>
      <c r="F15" s="37" t="str">
        <f t="shared" si="4"/>
        <v xml:space="preserve"> </v>
      </c>
      <c r="G15" s="37">
        <f t="shared" si="5"/>
        <v>0</v>
      </c>
      <c r="H15" s="37" t="str">
        <f t="shared" si="6"/>
        <v xml:space="preserve"> </v>
      </c>
      <c r="I15" s="37">
        <f t="shared" si="7"/>
        <v>0</v>
      </c>
      <c r="J15" s="37">
        <v>1</v>
      </c>
      <c r="K15" s="37"/>
      <c r="L15" s="37">
        <v>1</v>
      </c>
      <c r="M15" s="37"/>
    </row>
    <row r="16" spans="1:13" x14ac:dyDescent="0.25">
      <c r="A16" s="42" t="s">
        <v>410</v>
      </c>
      <c r="B16" s="39" t="s">
        <v>411</v>
      </c>
      <c r="C16" s="38" t="s">
        <v>100</v>
      </c>
      <c r="D16" s="37">
        <v>0.5</v>
      </c>
      <c r="E16" s="37">
        <f t="shared" si="3"/>
        <v>0</v>
      </c>
      <c r="F16" s="37" t="str">
        <f t="shared" si="4"/>
        <v xml:space="preserve"> </v>
      </c>
      <c r="G16" s="37">
        <f t="shared" si="5"/>
        <v>0</v>
      </c>
      <c r="H16" s="37" t="str">
        <f t="shared" si="6"/>
        <v xml:space="preserve"> </v>
      </c>
      <c r="I16" s="37">
        <f t="shared" si="7"/>
        <v>0</v>
      </c>
      <c r="J16" s="37">
        <v>1</v>
      </c>
      <c r="K16" s="37"/>
      <c r="L16" s="37">
        <v>1</v>
      </c>
      <c r="M16" s="37"/>
    </row>
    <row r="17" spans="1:13" x14ac:dyDescent="0.25">
      <c r="A17" s="42" t="s">
        <v>412</v>
      </c>
      <c r="B17" s="39" t="s">
        <v>413</v>
      </c>
      <c r="C17" s="38" t="s">
        <v>100</v>
      </c>
      <c r="D17" s="37">
        <v>0.5</v>
      </c>
      <c r="E17" s="37">
        <f t="shared" si="3"/>
        <v>0</v>
      </c>
      <c r="F17" s="37" t="str">
        <f t="shared" si="4"/>
        <v xml:space="preserve"> </v>
      </c>
      <c r="G17" s="37" t="str">
        <f t="shared" si="5"/>
        <v xml:space="preserve"> </v>
      </c>
      <c r="H17" s="37" t="str">
        <f t="shared" si="6"/>
        <v xml:space="preserve"> </v>
      </c>
      <c r="I17" s="37">
        <f t="shared" si="7"/>
        <v>0</v>
      </c>
      <c r="J17" s="37">
        <v>1</v>
      </c>
      <c r="K17" s="37"/>
      <c r="L17" s="37"/>
      <c r="M17" s="37"/>
    </row>
    <row r="18" spans="1:13" x14ac:dyDescent="0.25">
      <c r="A18" s="42" t="s">
        <v>414</v>
      </c>
      <c r="B18" s="39" t="s">
        <v>415</v>
      </c>
      <c r="C18" s="38" t="s">
        <v>100</v>
      </c>
      <c r="D18" s="37">
        <v>0.5</v>
      </c>
      <c r="E18" s="37">
        <f t="shared" si="3"/>
        <v>0</v>
      </c>
      <c r="F18" s="37" t="str">
        <f t="shared" si="4"/>
        <v xml:space="preserve"> </v>
      </c>
      <c r="G18" s="37" t="str">
        <f t="shared" si="5"/>
        <v xml:space="preserve"> </v>
      </c>
      <c r="H18" s="37" t="str">
        <f t="shared" si="6"/>
        <v xml:space="preserve"> </v>
      </c>
      <c r="I18" s="37">
        <f t="shared" si="7"/>
        <v>0</v>
      </c>
      <c r="J18" s="37">
        <v>1</v>
      </c>
      <c r="K18" s="37"/>
      <c r="L18" s="37"/>
      <c r="M18" s="37"/>
    </row>
    <row r="19" spans="1:13" x14ac:dyDescent="0.25">
      <c r="A19" s="42"/>
      <c r="B19" s="39"/>
      <c r="C19" s="37"/>
      <c r="D19" s="37"/>
      <c r="E19" s="37"/>
      <c r="F19" s="37"/>
      <c r="G19" s="37"/>
      <c r="H19" s="37"/>
      <c r="I19" s="37"/>
      <c r="J19" s="37"/>
      <c r="K19" s="37"/>
      <c r="L19" s="37"/>
      <c r="M19" s="37"/>
    </row>
    <row r="20" spans="1:13" ht="18.75" x14ac:dyDescent="0.3">
      <c r="A20" s="43" t="s">
        <v>416</v>
      </c>
      <c r="B20" s="63" t="s">
        <v>417</v>
      </c>
      <c r="C20" s="45"/>
      <c r="D20" s="45"/>
      <c r="E20" s="64">
        <f>IF(B21="",SUM(E21:E39),0)</f>
        <v>0</v>
      </c>
      <c r="F20" s="64">
        <f>IF(B21="",SUM(F21:F39),0)</f>
        <v>0</v>
      </c>
      <c r="G20" s="64">
        <f>IF(B21="",SUM(G21:G39),0)</f>
        <v>0</v>
      </c>
      <c r="H20" s="64">
        <f>IF(B21="",SUM(H21:H39),0)</f>
        <v>0</v>
      </c>
      <c r="I20" s="45"/>
      <c r="J20" s="45"/>
      <c r="K20" s="45"/>
      <c r="L20" s="45"/>
      <c r="M20" s="45"/>
    </row>
    <row r="21" spans="1:13" x14ac:dyDescent="0.25">
      <c r="A21" s="42"/>
      <c r="B21" s="61" t="str">
        <f>IF(SUM(Typologies!C5:C7)=0,"NOT APPLICABLE, PLEASE SKIP SECTION K","")</f>
        <v>NOT APPLICABLE, PLEASE SKIP SECTION K</v>
      </c>
      <c r="C21" s="37"/>
      <c r="D21" s="37"/>
      <c r="E21" s="37"/>
      <c r="F21" s="37"/>
      <c r="G21" s="37"/>
      <c r="H21" s="37"/>
      <c r="I21" s="37"/>
      <c r="J21" s="37"/>
      <c r="K21" s="37"/>
      <c r="L21" s="37"/>
      <c r="M21" s="37"/>
    </row>
    <row r="22" spans="1:13" x14ac:dyDescent="0.25">
      <c r="A22" s="41" t="s">
        <v>418</v>
      </c>
      <c r="B22" s="60" t="s">
        <v>419</v>
      </c>
      <c r="C22" s="37"/>
      <c r="D22" s="37"/>
      <c r="E22" s="37"/>
      <c r="F22" s="37"/>
      <c r="G22" s="37"/>
      <c r="H22" s="37"/>
      <c r="I22" s="37"/>
      <c r="J22" s="37"/>
      <c r="K22" s="37"/>
      <c r="L22" s="37"/>
      <c r="M22" s="37"/>
    </row>
    <row r="23" spans="1:13" x14ac:dyDescent="0.25">
      <c r="A23" s="42" t="s">
        <v>420</v>
      </c>
      <c r="B23" s="39" t="s">
        <v>421</v>
      </c>
      <c r="C23" s="38" t="s">
        <v>100</v>
      </c>
      <c r="D23" s="37">
        <v>1</v>
      </c>
      <c r="E23" s="37">
        <f t="shared" ref="E23" si="8">IF(J23=1,$I23," ")</f>
        <v>0</v>
      </c>
      <c r="F23" s="37">
        <f t="shared" ref="F23" si="9">IF(K23=1,$I23," ")</f>
        <v>0</v>
      </c>
      <c r="G23" s="37">
        <f t="shared" ref="G23" si="10">IF(L23=1,$I23," ")</f>
        <v>0</v>
      </c>
      <c r="H23" s="37">
        <f t="shared" ref="H23" si="11">IF(M23=1,$I23," ")</f>
        <v>0</v>
      </c>
      <c r="I23" s="37">
        <f t="shared" si="7"/>
        <v>0</v>
      </c>
      <c r="J23" s="37">
        <v>1</v>
      </c>
      <c r="K23" s="37">
        <v>1</v>
      </c>
      <c r="L23" s="37">
        <v>1</v>
      </c>
      <c r="M23" s="37">
        <v>1</v>
      </c>
    </row>
    <row r="24" spans="1:13" x14ac:dyDescent="0.25">
      <c r="A24" s="42" t="s">
        <v>422</v>
      </c>
      <c r="B24" s="39" t="s">
        <v>555</v>
      </c>
      <c r="C24" s="38" t="s">
        <v>100</v>
      </c>
      <c r="D24" s="37">
        <v>0.5</v>
      </c>
      <c r="E24" s="37">
        <f t="shared" ref="E24" si="12">IF(J24=1,$I24," ")</f>
        <v>0</v>
      </c>
      <c r="F24" s="37">
        <f t="shared" ref="F24" si="13">IF(K24=1,$I24," ")</f>
        <v>0</v>
      </c>
      <c r="G24" s="37" t="str">
        <f t="shared" ref="G24" si="14">IF(L24=1,$I24," ")</f>
        <v xml:space="preserve"> </v>
      </c>
      <c r="H24" s="37" t="str">
        <f t="shared" ref="H24" si="15">IF(M24=1,$I24," ")</f>
        <v xml:space="preserve"> </v>
      </c>
      <c r="I24" s="37">
        <f t="shared" si="7"/>
        <v>0</v>
      </c>
      <c r="J24" s="37">
        <v>1</v>
      </c>
      <c r="K24" s="37">
        <v>1</v>
      </c>
      <c r="L24" s="37"/>
      <c r="M24" s="37"/>
    </row>
    <row r="25" spans="1:13" x14ac:dyDescent="0.25">
      <c r="A25" s="42" t="s">
        <v>424</v>
      </c>
      <c r="B25" s="39" t="s">
        <v>423</v>
      </c>
      <c r="C25" s="38" t="s">
        <v>100</v>
      </c>
      <c r="D25" s="37">
        <v>0.5</v>
      </c>
      <c r="E25" s="37">
        <f t="shared" ref="E25:E30" si="16">IF(J25=1,$I25," ")</f>
        <v>0</v>
      </c>
      <c r="F25" s="37">
        <f t="shared" ref="F25:F28" si="17">IF(K25=1,$I25," ")</f>
        <v>0</v>
      </c>
      <c r="G25" s="37">
        <f t="shared" ref="G25:G28" si="18">IF(L25=1,$I25," ")</f>
        <v>0</v>
      </c>
      <c r="H25" s="37">
        <f t="shared" ref="H25:H28" si="19">IF(M25=1,$I25," ")</f>
        <v>0</v>
      </c>
      <c r="I25" s="37">
        <f t="shared" si="7"/>
        <v>0</v>
      </c>
      <c r="J25" s="37">
        <v>1</v>
      </c>
      <c r="K25" s="37">
        <v>1</v>
      </c>
      <c r="L25" s="37">
        <v>1</v>
      </c>
      <c r="M25" s="37">
        <v>1</v>
      </c>
    </row>
    <row r="26" spans="1:13" x14ac:dyDescent="0.25">
      <c r="A26" s="42" t="s">
        <v>426</v>
      </c>
      <c r="B26" s="39" t="s">
        <v>425</v>
      </c>
      <c r="C26" s="38" t="s">
        <v>100</v>
      </c>
      <c r="D26" s="37">
        <v>0.5</v>
      </c>
      <c r="E26" s="37">
        <f t="shared" si="16"/>
        <v>0</v>
      </c>
      <c r="F26" s="37">
        <f t="shared" si="17"/>
        <v>0</v>
      </c>
      <c r="G26" s="37">
        <f t="shared" si="18"/>
        <v>0</v>
      </c>
      <c r="H26" s="37">
        <f t="shared" si="19"/>
        <v>0</v>
      </c>
      <c r="I26" s="37">
        <f t="shared" si="7"/>
        <v>0</v>
      </c>
      <c r="J26" s="37">
        <v>1</v>
      </c>
      <c r="K26" s="37">
        <v>1</v>
      </c>
      <c r="L26" s="37">
        <v>1</v>
      </c>
      <c r="M26" s="37">
        <v>1</v>
      </c>
    </row>
    <row r="27" spans="1:13" ht="30" x14ac:dyDescent="0.25">
      <c r="A27" s="42" t="s">
        <v>428</v>
      </c>
      <c r="B27" s="39" t="s">
        <v>427</v>
      </c>
      <c r="C27" s="38" t="s">
        <v>100</v>
      </c>
      <c r="D27" s="37">
        <v>0.5</v>
      </c>
      <c r="E27" s="37">
        <f t="shared" si="16"/>
        <v>0</v>
      </c>
      <c r="F27" s="37">
        <f t="shared" si="17"/>
        <v>0</v>
      </c>
      <c r="G27" s="37">
        <f t="shared" si="18"/>
        <v>0</v>
      </c>
      <c r="H27" s="37" t="str">
        <f t="shared" si="19"/>
        <v xml:space="preserve"> </v>
      </c>
      <c r="I27" s="37">
        <f t="shared" si="7"/>
        <v>0</v>
      </c>
      <c r="J27" s="37">
        <v>1</v>
      </c>
      <c r="K27" s="37">
        <v>1</v>
      </c>
      <c r="L27" s="37">
        <v>1</v>
      </c>
      <c r="M27" s="37"/>
    </row>
    <row r="28" spans="1:13" x14ac:dyDescent="0.25">
      <c r="A28" s="42" t="s">
        <v>567</v>
      </c>
      <c r="B28" s="39" t="s">
        <v>429</v>
      </c>
      <c r="C28" s="38" t="s">
        <v>100</v>
      </c>
      <c r="D28" s="37">
        <v>1</v>
      </c>
      <c r="E28" s="37">
        <f t="shared" si="16"/>
        <v>0</v>
      </c>
      <c r="F28" s="37">
        <f t="shared" si="17"/>
        <v>0</v>
      </c>
      <c r="G28" s="37">
        <f t="shared" si="18"/>
        <v>0</v>
      </c>
      <c r="H28" s="37">
        <f t="shared" si="19"/>
        <v>0</v>
      </c>
      <c r="I28" s="37">
        <f t="shared" si="7"/>
        <v>0</v>
      </c>
      <c r="J28" s="37">
        <v>1</v>
      </c>
      <c r="K28" s="37">
        <v>1</v>
      </c>
      <c r="L28" s="37">
        <v>1</v>
      </c>
      <c r="M28" s="37">
        <v>1</v>
      </c>
    </row>
    <row r="29" spans="1:13" x14ac:dyDescent="0.25">
      <c r="A29" s="41" t="s">
        <v>430</v>
      </c>
      <c r="B29" s="60" t="s">
        <v>431</v>
      </c>
      <c r="C29" s="37"/>
      <c r="D29" s="37"/>
      <c r="E29" s="37"/>
      <c r="F29" s="37"/>
      <c r="G29" s="37"/>
      <c r="H29" s="37"/>
      <c r="I29" s="37">
        <f t="shared" si="7"/>
        <v>0</v>
      </c>
      <c r="J29" s="37"/>
      <c r="K29" s="37"/>
      <c r="L29" s="37"/>
      <c r="M29" s="37"/>
    </row>
    <row r="30" spans="1:13" ht="30" x14ac:dyDescent="0.25">
      <c r="A30" s="42" t="s">
        <v>432</v>
      </c>
      <c r="B30" s="39" t="s">
        <v>573</v>
      </c>
      <c r="C30" s="38" t="s">
        <v>100</v>
      </c>
      <c r="D30" s="37">
        <v>0.5</v>
      </c>
      <c r="E30" s="37">
        <f t="shared" si="16"/>
        <v>0</v>
      </c>
      <c r="F30" s="37" t="str">
        <f t="shared" ref="F30" si="20">IF(K30=1,$I30," ")</f>
        <v xml:space="preserve"> </v>
      </c>
      <c r="G30" s="37" t="str">
        <f t="shared" ref="G30" si="21">IF(L30=1,$I30," ")</f>
        <v xml:space="preserve"> </v>
      </c>
      <c r="H30" s="37" t="str">
        <f t="shared" ref="H30" si="22">IF(M30=1,$I30," ")</f>
        <v xml:space="preserve"> </v>
      </c>
      <c r="I30" s="37">
        <f t="shared" si="7"/>
        <v>0</v>
      </c>
      <c r="J30" s="37">
        <v>1</v>
      </c>
      <c r="K30" s="37"/>
      <c r="L30" s="37"/>
      <c r="M30" s="37"/>
    </row>
    <row r="31" spans="1:13" ht="77.25" customHeight="1" x14ac:dyDescent="0.25">
      <c r="A31" s="42" t="s">
        <v>433</v>
      </c>
      <c r="B31" s="39" t="s">
        <v>434</v>
      </c>
      <c r="C31" s="38" t="s">
        <v>100</v>
      </c>
      <c r="D31" s="37">
        <v>0.5</v>
      </c>
      <c r="E31" s="37">
        <f t="shared" ref="E31:E36" si="23">IF(J31=1,$I31," ")</f>
        <v>0</v>
      </c>
      <c r="F31" s="37" t="str">
        <f t="shared" ref="F31:F34" si="24">IF(K31=1,$I31," ")</f>
        <v xml:space="preserve"> </v>
      </c>
      <c r="G31" s="37" t="str">
        <f t="shared" ref="G31:G34" si="25">IF(L31=1,$I31," ")</f>
        <v xml:space="preserve"> </v>
      </c>
      <c r="H31" s="37" t="str">
        <f t="shared" ref="H31:H34" si="26">IF(M31=1,$I31," ")</f>
        <v xml:space="preserve"> </v>
      </c>
      <c r="I31" s="37">
        <f t="shared" si="7"/>
        <v>0</v>
      </c>
      <c r="J31" s="37">
        <v>1</v>
      </c>
      <c r="K31" s="37"/>
      <c r="L31" s="37"/>
      <c r="M31" s="37"/>
    </row>
    <row r="32" spans="1:13" ht="60" x14ac:dyDescent="0.25">
      <c r="A32" s="42" t="s">
        <v>435</v>
      </c>
      <c r="B32" s="39" t="s">
        <v>436</v>
      </c>
      <c r="C32" s="38" t="s">
        <v>100</v>
      </c>
      <c r="D32" s="37">
        <v>0.5</v>
      </c>
      <c r="E32" s="37">
        <f t="shared" si="23"/>
        <v>0</v>
      </c>
      <c r="F32" s="37">
        <f t="shared" si="24"/>
        <v>0</v>
      </c>
      <c r="G32" s="37">
        <f t="shared" si="25"/>
        <v>0</v>
      </c>
      <c r="H32" s="37">
        <f t="shared" si="26"/>
        <v>0</v>
      </c>
      <c r="I32" s="37">
        <f t="shared" si="7"/>
        <v>0</v>
      </c>
      <c r="J32" s="37">
        <v>1</v>
      </c>
      <c r="K32" s="37">
        <v>1</v>
      </c>
      <c r="L32" s="37">
        <v>1</v>
      </c>
      <c r="M32" s="37">
        <v>1</v>
      </c>
    </row>
    <row r="33" spans="1:13" ht="45.75" customHeight="1" x14ac:dyDescent="0.25">
      <c r="A33" s="42" t="s">
        <v>437</v>
      </c>
      <c r="B33" s="39" t="s">
        <v>438</v>
      </c>
      <c r="C33" s="38" t="s">
        <v>100</v>
      </c>
      <c r="D33" s="37">
        <v>0.5</v>
      </c>
      <c r="E33" s="37">
        <f t="shared" si="23"/>
        <v>0</v>
      </c>
      <c r="F33" s="37">
        <f t="shared" si="24"/>
        <v>0</v>
      </c>
      <c r="G33" s="37">
        <f t="shared" si="25"/>
        <v>0</v>
      </c>
      <c r="H33" s="37">
        <f t="shared" si="26"/>
        <v>0</v>
      </c>
      <c r="I33" s="37">
        <f t="shared" si="7"/>
        <v>0</v>
      </c>
      <c r="J33" s="37">
        <v>1</v>
      </c>
      <c r="K33" s="37">
        <v>1</v>
      </c>
      <c r="L33" s="37">
        <v>1</v>
      </c>
      <c r="M33" s="37">
        <v>1</v>
      </c>
    </row>
    <row r="34" spans="1:13" ht="30" x14ac:dyDescent="0.25">
      <c r="A34" s="42" t="s">
        <v>439</v>
      </c>
      <c r="B34" s="39" t="s">
        <v>574</v>
      </c>
      <c r="C34" s="38" t="s">
        <v>100</v>
      </c>
      <c r="D34" s="37">
        <v>0.5</v>
      </c>
      <c r="E34" s="37">
        <f t="shared" si="23"/>
        <v>0</v>
      </c>
      <c r="F34" s="37">
        <f t="shared" si="24"/>
        <v>0</v>
      </c>
      <c r="G34" s="37" t="str">
        <f t="shared" si="25"/>
        <v xml:space="preserve"> </v>
      </c>
      <c r="H34" s="37" t="str">
        <f t="shared" si="26"/>
        <v xml:space="preserve"> </v>
      </c>
      <c r="I34" s="37">
        <f t="shared" si="7"/>
        <v>0</v>
      </c>
      <c r="J34" s="37">
        <v>1</v>
      </c>
      <c r="K34" s="37">
        <v>1</v>
      </c>
      <c r="L34" s="37"/>
      <c r="M34" s="37"/>
    </row>
    <row r="35" spans="1:13" ht="30" x14ac:dyDescent="0.25">
      <c r="A35" s="41" t="s">
        <v>440</v>
      </c>
      <c r="B35" s="60" t="s">
        <v>441</v>
      </c>
      <c r="C35" s="37"/>
      <c r="D35" s="37"/>
      <c r="E35" s="37"/>
      <c r="F35" s="37"/>
      <c r="G35" s="37"/>
      <c r="H35" s="37"/>
      <c r="I35" s="37">
        <f t="shared" si="7"/>
        <v>0</v>
      </c>
      <c r="J35" s="37"/>
      <c r="K35" s="37"/>
      <c r="L35" s="37"/>
      <c r="M35" s="37"/>
    </row>
    <row r="36" spans="1:13" x14ac:dyDescent="0.25">
      <c r="A36" s="42" t="s">
        <v>442</v>
      </c>
      <c r="B36" s="39" t="s">
        <v>443</v>
      </c>
      <c r="C36" s="38" t="s">
        <v>100</v>
      </c>
      <c r="D36" s="37">
        <v>0.5</v>
      </c>
      <c r="E36" s="37">
        <f t="shared" si="23"/>
        <v>0</v>
      </c>
      <c r="F36" s="37">
        <f t="shared" ref="F36" si="27">IF(K36=1,$I36," ")</f>
        <v>0</v>
      </c>
      <c r="G36" s="37" t="str">
        <f t="shared" ref="G36" si="28">IF(L36=1,$I36," ")</f>
        <v xml:space="preserve"> </v>
      </c>
      <c r="H36" s="37" t="str">
        <f t="shared" ref="H36" si="29">IF(M36=1,$I36," ")</f>
        <v xml:space="preserve"> </v>
      </c>
      <c r="I36" s="37">
        <f t="shared" si="7"/>
        <v>0</v>
      </c>
      <c r="J36" s="37">
        <v>1</v>
      </c>
      <c r="K36" s="37">
        <v>1</v>
      </c>
      <c r="L36" s="37"/>
      <c r="M36" s="37"/>
    </row>
    <row r="37" spans="1:13" ht="30" x14ac:dyDescent="0.25">
      <c r="A37" s="42" t="s">
        <v>444</v>
      </c>
      <c r="B37" s="39" t="s">
        <v>445</v>
      </c>
      <c r="C37" s="38" t="s">
        <v>100</v>
      </c>
      <c r="D37" s="37">
        <v>0.5</v>
      </c>
      <c r="E37" s="37">
        <f t="shared" ref="E37:E39" si="30">IF(J37=1,$I37," ")</f>
        <v>0</v>
      </c>
      <c r="F37" s="37">
        <f t="shared" ref="F37:F39" si="31">IF(K37=1,$I37," ")</f>
        <v>0</v>
      </c>
      <c r="G37" s="37" t="str">
        <f t="shared" ref="G37:G39" si="32">IF(L37=1,$I37," ")</f>
        <v xml:space="preserve"> </v>
      </c>
      <c r="H37" s="37" t="str">
        <f t="shared" ref="H37:H39" si="33">IF(M37=1,$I37," ")</f>
        <v xml:space="preserve"> </v>
      </c>
      <c r="I37" s="37">
        <f t="shared" si="7"/>
        <v>0</v>
      </c>
      <c r="J37" s="37">
        <v>1</v>
      </c>
      <c r="K37" s="37">
        <v>1</v>
      </c>
      <c r="L37" s="37"/>
      <c r="M37" s="37"/>
    </row>
    <row r="38" spans="1:13" ht="30" x14ac:dyDescent="0.25">
      <c r="A38" s="42" t="s">
        <v>446</v>
      </c>
      <c r="B38" s="39" t="s">
        <v>447</v>
      </c>
      <c r="C38" s="38" t="s">
        <v>100</v>
      </c>
      <c r="D38" s="37">
        <v>0.5</v>
      </c>
      <c r="E38" s="37">
        <f t="shared" si="30"/>
        <v>0</v>
      </c>
      <c r="F38" s="37">
        <f t="shared" si="31"/>
        <v>0</v>
      </c>
      <c r="G38" s="37" t="str">
        <f t="shared" si="32"/>
        <v xml:space="preserve"> </v>
      </c>
      <c r="H38" s="37" t="str">
        <f t="shared" si="33"/>
        <v xml:space="preserve"> </v>
      </c>
      <c r="I38" s="37">
        <f t="shared" si="7"/>
        <v>0</v>
      </c>
      <c r="J38" s="37">
        <v>1</v>
      </c>
      <c r="K38" s="37">
        <v>1</v>
      </c>
      <c r="L38" s="37"/>
      <c r="M38" s="37"/>
    </row>
    <row r="39" spans="1:13" x14ac:dyDescent="0.25">
      <c r="A39" s="42" t="s">
        <v>448</v>
      </c>
      <c r="B39" s="39" t="s">
        <v>449</v>
      </c>
      <c r="C39" s="38" t="s">
        <v>100</v>
      </c>
      <c r="D39" s="37">
        <v>0.5</v>
      </c>
      <c r="E39" s="37">
        <f t="shared" si="30"/>
        <v>0</v>
      </c>
      <c r="F39" s="37">
        <f t="shared" si="31"/>
        <v>0</v>
      </c>
      <c r="G39" s="37" t="str">
        <f t="shared" si="32"/>
        <v xml:space="preserve"> </v>
      </c>
      <c r="H39" s="37" t="str">
        <f t="shared" si="33"/>
        <v xml:space="preserve"> </v>
      </c>
      <c r="I39" s="37">
        <f t="shared" si="7"/>
        <v>0</v>
      </c>
      <c r="J39" s="37">
        <v>1</v>
      </c>
      <c r="K39" s="37">
        <v>1</v>
      </c>
      <c r="L39" s="37"/>
      <c r="M39" s="37"/>
    </row>
    <row r="40" spans="1:13" x14ac:dyDescent="0.25">
      <c r="A40" s="42"/>
      <c r="B40" s="39"/>
      <c r="C40" s="37"/>
      <c r="D40" s="37"/>
      <c r="E40" s="37"/>
      <c r="F40" s="37"/>
      <c r="G40" s="37"/>
      <c r="H40" s="37"/>
      <c r="I40" s="37"/>
      <c r="J40" s="37"/>
      <c r="K40" s="37"/>
      <c r="L40" s="37"/>
      <c r="M40" s="37"/>
    </row>
    <row r="41" spans="1:13" ht="56.25" x14ac:dyDescent="0.3">
      <c r="A41" s="43" t="s">
        <v>450</v>
      </c>
      <c r="B41" s="63" t="s">
        <v>451</v>
      </c>
      <c r="C41" s="45"/>
      <c r="D41" s="45"/>
      <c r="E41" s="64">
        <f>IF($B$42="",SUM(E44:E54),0)</f>
        <v>0</v>
      </c>
      <c r="F41" s="64">
        <f t="shared" ref="F41:H41" si="34">IF($B$42="",SUM(F44:F54),0)</f>
        <v>0</v>
      </c>
      <c r="G41" s="64">
        <f t="shared" si="34"/>
        <v>0</v>
      </c>
      <c r="H41" s="64">
        <f t="shared" si="34"/>
        <v>0</v>
      </c>
      <c r="I41" s="45"/>
      <c r="J41" s="45"/>
      <c r="K41" s="45"/>
      <c r="L41" s="45"/>
      <c r="M41" s="45"/>
    </row>
    <row r="42" spans="1:13" x14ac:dyDescent="0.25">
      <c r="A42" s="42"/>
      <c r="B42" s="61" t="str">
        <f>IF(SUM(Typologies!C11:C12)=0,"NOT APPLICABLE, PLEASE SKIP SECTION L","")</f>
        <v>NOT APPLICABLE, PLEASE SKIP SECTION L</v>
      </c>
      <c r="C42" s="37"/>
      <c r="D42" s="37"/>
      <c r="E42" s="37"/>
      <c r="F42" s="37"/>
      <c r="G42" s="37"/>
      <c r="H42" s="37"/>
      <c r="I42" s="37"/>
      <c r="J42" s="37"/>
      <c r="K42" s="37"/>
      <c r="L42" s="37"/>
      <c r="M42" s="37"/>
    </row>
    <row r="43" spans="1:13" ht="30" x14ac:dyDescent="0.25">
      <c r="A43" s="41" t="s">
        <v>452</v>
      </c>
      <c r="B43" s="60" t="s">
        <v>453</v>
      </c>
      <c r="C43" s="37"/>
      <c r="D43" s="37"/>
      <c r="E43" s="37"/>
      <c r="F43" s="37"/>
      <c r="G43" s="37"/>
      <c r="H43" s="37"/>
      <c r="I43" s="37"/>
      <c r="J43" s="37"/>
      <c r="K43" s="37"/>
      <c r="L43" s="37"/>
      <c r="M43" s="37"/>
    </row>
    <row r="44" spans="1:13" x14ac:dyDescent="0.25">
      <c r="A44" s="42" t="s">
        <v>454</v>
      </c>
      <c r="B44" s="39" t="s">
        <v>455</v>
      </c>
      <c r="C44" s="38" t="s">
        <v>100</v>
      </c>
      <c r="D44" s="37">
        <v>0.5</v>
      </c>
      <c r="E44" s="37">
        <f t="shared" ref="E44" si="35">IF(J44=1,$I44," ")</f>
        <v>0</v>
      </c>
      <c r="F44" s="37">
        <f t="shared" ref="F44" si="36">IF(K44=1,$I44," ")</f>
        <v>0</v>
      </c>
      <c r="G44" s="37">
        <f t="shared" ref="G44" si="37">IF(L44=1,$I44," ")</f>
        <v>0</v>
      </c>
      <c r="H44" s="37">
        <f t="shared" ref="H44" si="38">IF(M44=1,$I44," ")</f>
        <v>0</v>
      </c>
      <c r="I44" s="37">
        <f t="shared" si="7"/>
        <v>0</v>
      </c>
      <c r="J44" s="37">
        <v>1</v>
      </c>
      <c r="K44" s="37">
        <v>1</v>
      </c>
      <c r="L44" s="37">
        <v>1</v>
      </c>
      <c r="M44" s="37">
        <v>1</v>
      </c>
    </row>
    <row r="45" spans="1:13" ht="45" x14ac:dyDescent="0.25">
      <c r="A45" s="42" t="s">
        <v>456</v>
      </c>
      <c r="B45" s="39" t="s">
        <v>457</v>
      </c>
      <c r="C45" s="38" t="s">
        <v>100</v>
      </c>
      <c r="D45" s="37">
        <v>1</v>
      </c>
      <c r="E45" s="37">
        <f t="shared" ref="E45:E49" si="39">IF(J45=1,$I45," ")</f>
        <v>0</v>
      </c>
      <c r="F45" s="37">
        <f t="shared" ref="F45:F49" si="40">IF(K45=1,$I45," ")</f>
        <v>0</v>
      </c>
      <c r="G45" s="37" t="str">
        <f t="shared" ref="G45:G49" si="41">IF(L45=1,$I45," ")</f>
        <v xml:space="preserve"> </v>
      </c>
      <c r="H45" s="37" t="str">
        <f t="shared" ref="H45:H49" si="42">IF(M45=1,$I45," ")</f>
        <v xml:space="preserve"> </v>
      </c>
      <c r="I45" s="37">
        <f t="shared" si="7"/>
        <v>0</v>
      </c>
      <c r="J45" s="37">
        <v>1</v>
      </c>
      <c r="K45" s="37">
        <v>1</v>
      </c>
      <c r="L45" s="37"/>
      <c r="M45" s="37"/>
    </row>
    <row r="46" spans="1:13" ht="45" x14ac:dyDescent="0.25">
      <c r="A46" s="42" t="s">
        <v>458</v>
      </c>
      <c r="B46" s="39" t="s">
        <v>459</v>
      </c>
      <c r="C46" s="38" t="s">
        <v>100</v>
      </c>
      <c r="D46" s="37">
        <v>1</v>
      </c>
      <c r="E46" s="37" t="str">
        <f t="shared" si="39"/>
        <v xml:space="preserve"> </v>
      </c>
      <c r="F46" s="37">
        <f t="shared" si="40"/>
        <v>0</v>
      </c>
      <c r="G46" s="37" t="str">
        <f t="shared" si="41"/>
        <v xml:space="preserve"> </v>
      </c>
      <c r="H46" s="37" t="str">
        <f t="shared" si="42"/>
        <v xml:space="preserve"> </v>
      </c>
      <c r="I46" s="37">
        <f t="shared" si="7"/>
        <v>0</v>
      </c>
      <c r="J46" s="37"/>
      <c r="K46" s="37">
        <v>1</v>
      </c>
      <c r="L46" s="37"/>
      <c r="M46" s="37"/>
    </row>
    <row r="47" spans="1:13" x14ac:dyDescent="0.25">
      <c r="A47" s="42" t="s">
        <v>460</v>
      </c>
      <c r="B47" s="39" t="s">
        <v>461</v>
      </c>
      <c r="C47" s="38" t="s">
        <v>100</v>
      </c>
      <c r="D47" s="37">
        <v>1</v>
      </c>
      <c r="E47" s="37">
        <f t="shared" si="39"/>
        <v>0</v>
      </c>
      <c r="F47" s="37">
        <f t="shared" si="40"/>
        <v>0</v>
      </c>
      <c r="G47" s="37" t="str">
        <f t="shared" si="41"/>
        <v xml:space="preserve"> </v>
      </c>
      <c r="H47" s="37" t="str">
        <f t="shared" si="42"/>
        <v xml:space="preserve"> </v>
      </c>
      <c r="I47" s="37">
        <f t="shared" si="7"/>
        <v>0</v>
      </c>
      <c r="J47" s="37">
        <v>1</v>
      </c>
      <c r="K47" s="37">
        <v>1</v>
      </c>
      <c r="L47" s="37"/>
      <c r="M47" s="37"/>
    </row>
    <row r="48" spans="1:13" x14ac:dyDescent="0.25">
      <c r="A48" s="42" t="s">
        <v>462</v>
      </c>
      <c r="B48" s="39" t="s">
        <v>463</v>
      </c>
      <c r="C48" s="38" t="s">
        <v>100</v>
      </c>
      <c r="D48" s="37">
        <v>1</v>
      </c>
      <c r="E48" s="37">
        <f t="shared" si="39"/>
        <v>0</v>
      </c>
      <c r="F48" s="37">
        <f t="shared" si="40"/>
        <v>0</v>
      </c>
      <c r="G48" s="37" t="str">
        <f t="shared" si="41"/>
        <v xml:space="preserve"> </v>
      </c>
      <c r="H48" s="37" t="str">
        <f t="shared" si="42"/>
        <v xml:space="preserve"> </v>
      </c>
      <c r="I48" s="37">
        <f t="shared" si="7"/>
        <v>0</v>
      </c>
      <c r="J48" s="37">
        <v>1</v>
      </c>
      <c r="K48" s="37">
        <v>1</v>
      </c>
      <c r="L48" s="37"/>
      <c r="M48" s="37"/>
    </row>
    <row r="49" spans="1:13" ht="30" x14ac:dyDescent="0.25">
      <c r="A49" s="42" t="s">
        <v>464</v>
      </c>
      <c r="B49" s="39" t="s">
        <v>465</v>
      </c>
      <c r="C49" s="38" t="s">
        <v>100</v>
      </c>
      <c r="D49" s="37">
        <v>1</v>
      </c>
      <c r="E49" s="37">
        <f t="shared" si="39"/>
        <v>0</v>
      </c>
      <c r="F49" s="37" t="str">
        <f t="shared" si="40"/>
        <v xml:space="preserve"> </v>
      </c>
      <c r="G49" s="37" t="str">
        <f t="shared" si="41"/>
        <v xml:space="preserve"> </v>
      </c>
      <c r="H49" s="37" t="str">
        <f t="shared" si="42"/>
        <v xml:space="preserve"> </v>
      </c>
      <c r="I49" s="37">
        <f t="shared" si="7"/>
        <v>0</v>
      </c>
      <c r="J49" s="37">
        <v>1</v>
      </c>
      <c r="K49" s="37"/>
      <c r="L49" s="37"/>
      <c r="M49" s="37"/>
    </row>
    <row r="50" spans="1:13" x14ac:dyDescent="0.25">
      <c r="A50" s="41" t="s">
        <v>466</v>
      </c>
      <c r="B50" s="60" t="s">
        <v>467</v>
      </c>
      <c r="C50" s="37"/>
      <c r="D50" s="37"/>
      <c r="E50" s="37"/>
      <c r="F50" s="37"/>
      <c r="G50" s="37"/>
      <c r="H50" s="37"/>
      <c r="I50" s="37"/>
      <c r="J50" s="37"/>
      <c r="K50" s="37"/>
      <c r="L50" s="37"/>
      <c r="M50" s="37"/>
    </row>
    <row r="51" spans="1:13" ht="45" x14ac:dyDescent="0.25">
      <c r="A51" s="42" t="s">
        <v>468</v>
      </c>
      <c r="B51" s="39" t="s">
        <v>469</v>
      </c>
      <c r="C51" s="38">
        <v>0</v>
      </c>
      <c r="D51" s="48" t="str">
        <f>IF(C51&gt;'Part 1 - Basic Provisions'!C215,"PLEASE CHECK","")</f>
        <v/>
      </c>
      <c r="E51" s="37"/>
      <c r="F51" s="37"/>
      <c r="G51" s="37"/>
      <c r="H51" s="37"/>
      <c r="I51" s="37"/>
      <c r="J51" s="37"/>
      <c r="K51" s="37"/>
      <c r="L51" s="37"/>
      <c r="M51" s="37"/>
    </row>
    <row r="52" spans="1:13" x14ac:dyDescent="0.25">
      <c r="A52" s="42"/>
      <c r="B52" s="40" t="s">
        <v>470</v>
      </c>
      <c r="C52" s="37"/>
      <c r="D52" s="37">
        <v>1</v>
      </c>
      <c r="E52" s="37" t="str">
        <f t="shared" ref="E52" si="43">IF(J52=1,$I52," ")</f>
        <v xml:space="preserve"> </v>
      </c>
      <c r="F52" s="37" t="str">
        <f t="shared" ref="F52" si="44">IF(K52=1,$I52," ")</f>
        <v xml:space="preserve"> </v>
      </c>
      <c r="G52" s="37">
        <f t="shared" ref="G52" si="45">IF(L52=1,$I52," ")</f>
        <v>0</v>
      </c>
      <c r="H52" s="37" t="str">
        <f t="shared" ref="H52" si="46">IF(M52=1,$I52," ")</f>
        <v xml:space="preserve"> </v>
      </c>
      <c r="I52" s="37">
        <f>IF(D51="PLEASE CHECK",0,IF(C51&gt;0,D52,0))</f>
        <v>0</v>
      </c>
      <c r="J52" s="37"/>
      <c r="K52" s="37"/>
      <c r="L52" s="37">
        <v>1</v>
      </c>
      <c r="M52" s="37"/>
    </row>
    <row r="53" spans="1:13" ht="30" x14ac:dyDescent="0.25">
      <c r="A53" s="42"/>
      <c r="B53" s="40" t="s">
        <v>471</v>
      </c>
      <c r="C53" s="37"/>
      <c r="D53" s="37">
        <v>2</v>
      </c>
      <c r="E53" s="37" t="str">
        <f t="shared" ref="E53:E54" si="47">IF(J53=1,$I53," ")</f>
        <v xml:space="preserve"> </v>
      </c>
      <c r="F53" s="37" t="str">
        <f t="shared" ref="F53:F54" si="48">IF(K53=1,$I53," ")</f>
        <v xml:space="preserve"> </v>
      </c>
      <c r="G53" s="37">
        <f t="shared" ref="G53:G54" si="49">IF(L53=1,$I53," ")</f>
        <v>0</v>
      </c>
      <c r="H53" s="37" t="str">
        <f t="shared" ref="H53:H54" si="50">IF(M53=1,$I53," ")</f>
        <v xml:space="preserve"> </v>
      </c>
      <c r="I53" s="37">
        <f>IF(D51="PLEASE CHECK",0,IF(C51&gt;1,IF((C51/'Part 1 - Basic Provisions'!C215)&gt;0.01,D53,0),0))</f>
        <v>0</v>
      </c>
      <c r="J53" s="37"/>
      <c r="K53" s="37"/>
      <c r="L53" s="37">
        <v>1</v>
      </c>
      <c r="M53" s="37"/>
    </row>
    <row r="54" spans="1:13" x14ac:dyDescent="0.25">
      <c r="A54" s="42" t="s">
        <v>472</v>
      </c>
      <c r="B54" s="39" t="s">
        <v>473</v>
      </c>
      <c r="C54" s="38" t="s">
        <v>100</v>
      </c>
      <c r="D54" s="37">
        <v>1</v>
      </c>
      <c r="E54" s="37" t="str">
        <f t="shared" si="47"/>
        <v xml:space="preserve"> </v>
      </c>
      <c r="F54" s="37" t="str">
        <f t="shared" si="48"/>
        <v xml:space="preserve"> </v>
      </c>
      <c r="G54" s="37">
        <f t="shared" si="49"/>
        <v>0</v>
      </c>
      <c r="H54" s="37" t="str">
        <f t="shared" si="50"/>
        <v xml:space="preserve"> </v>
      </c>
      <c r="I54" s="37">
        <f t="shared" si="7"/>
        <v>0</v>
      </c>
      <c r="J54" s="37"/>
      <c r="K54" s="37"/>
      <c r="L54" s="37">
        <v>1</v>
      </c>
      <c r="M54" s="37"/>
    </row>
    <row r="55" spans="1:13" ht="15.75" thickBot="1" x14ac:dyDescent="0.3"/>
    <row r="56" spans="1:13" ht="45" x14ac:dyDescent="0.25">
      <c r="C56" s="32"/>
      <c r="D56" s="30"/>
      <c r="E56" s="26" t="str">
        <f t="shared" ref="E56:H57" si="51">E3</f>
        <v>For Persons with Disabilities</v>
      </c>
      <c r="F56" s="26" t="str">
        <f t="shared" si="51"/>
        <v>For the Elderly</v>
      </c>
      <c r="G56" s="26" t="str">
        <f t="shared" si="51"/>
        <v>For Families with Young Children</v>
      </c>
      <c r="H56" s="27" t="str">
        <f t="shared" si="51"/>
        <v>For Expectant / Nursing Mothers</v>
      </c>
    </row>
    <row r="57" spans="1:13" ht="24" thickBot="1" x14ac:dyDescent="0.3">
      <c r="C57" s="34" t="str">
        <f>C4</f>
        <v>Total Points Scored</v>
      </c>
      <c r="D57" s="31"/>
      <c r="E57" s="28">
        <f t="shared" si="51"/>
        <v>0</v>
      </c>
      <c r="F57" s="28">
        <f t="shared" si="51"/>
        <v>0</v>
      </c>
      <c r="G57" s="28">
        <f t="shared" si="51"/>
        <v>0</v>
      </c>
      <c r="H57" s="29">
        <f t="shared" si="51"/>
        <v>0</v>
      </c>
    </row>
  </sheetData>
  <sheetProtection algorithmName="SHA-512" hashValue="kLaMOSKWBFBSpZ8Y4+WU2ybkvslghOZrEhZEBK/h/QI9KSiJChO0EwEtvv7UFlKZQ3OPqSYb1xtzyl/tATRMlA==" saltValue="UI9fDH2Sp5wcPhAVAKBvsA==" spinCount="100000" sheet="1" objects="1" scenarios="1"/>
  <protectedRanges>
    <protectedRange sqref="C8:C18 C23:C28 C30:C34 C36:C39 C44:C49 C51 C54" name="J_K_L"/>
  </protectedRanges>
  <phoneticPr fontId="10" type="noConversion"/>
  <conditionalFormatting sqref="E8:H19 E21:H40 E42:H54">
    <cfRule type="cellIs" dxfId="7" priority="1" stopIfTrue="1" operator="equal">
      <formula>" "</formula>
    </cfRule>
    <cfRule type="cellIs" dxfId="6" priority="2"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D852C893-7B70-4C15-93B4-F5E33B99EEF1}">
          <x14:formula1>
            <xm:f>References!$A$1:$A$2</xm:f>
          </x14:formula1>
          <xm:sqref>C8:C18 C23:C28 C30:C34 C36:C39 C44:C49 C54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7B26B-F647-4E1A-B750-1EDD737D48C9}">
  <dimension ref="A1:M31"/>
  <sheetViews>
    <sheetView zoomScaleNormal="100" workbookViewId="0">
      <selection activeCell="C10" sqref="C10"/>
    </sheetView>
  </sheetViews>
  <sheetFormatPr defaultRowHeight="15" x14ac:dyDescent="0.25"/>
  <cols>
    <col min="1" max="1" width="7.140625" style="35" customWidth="1"/>
    <col min="2" max="2" width="34.7109375" style="1" customWidth="1"/>
    <col min="3" max="3" width="7.85546875" customWidth="1"/>
    <col min="4" max="4" width="7.42578125" customWidth="1"/>
    <col min="9" max="13" width="9.140625" hidden="1" customWidth="1"/>
  </cols>
  <sheetData>
    <row r="1" spans="1:13" ht="23.25" x14ac:dyDescent="0.25">
      <c r="A1" s="22" t="s">
        <v>474</v>
      </c>
      <c r="B1" s="23"/>
      <c r="C1" s="21"/>
      <c r="D1" s="20"/>
      <c r="E1" s="21"/>
      <c r="F1" s="21"/>
      <c r="G1" s="21"/>
      <c r="H1" s="21"/>
    </row>
    <row r="2" spans="1:13" ht="15.75" thickBot="1" x14ac:dyDescent="0.3">
      <c r="A2" s="24"/>
      <c r="B2" s="23"/>
      <c r="C2" s="21"/>
      <c r="D2" s="20"/>
      <c r="E2" s="21"/>
      <c r="F2" s="21"/>
      <c r="G2" s="21"/>
      <c r="H2" s="21"/>
    </row>
    <row r="3" spans="1:13" ht="45" x14ac:dyDescent="0.25">
      <c r="A3" s="24"/>
      <c r="B3" s="23"/>
      <c r="C3" s="32"/>
      <c r="D3" s="30"/>
      <c r="E3" s="26" t="s">
        <v>62</v>
      </c>
      <c r="F3" s="26" t="s">
        <v>63</v>
      </c>
      <c r="G3" s="26" t="s">
        <v>64</v>
      </c>
      <c r="H3" s="27" t="s">
        <v>65</v>
      </c>
    </row>
    <row r="4" spans="1:13" ht="24" thickBot="1" x14ac:dyDescent="0.3">
      <c r="A4" s="24"/>
      <c r="B4" s="23"/>
      <c r="C4" s="34" t="s">
        <v>66</v>
      </c>
      <c r="D4" s="31"/>
      <c r="E4" s="28">
        <f>IF(B8="",E10+E16+E19,0)</f>
        <v>0</v>
      </c>
      <c r="F4" s="28">
        <f>IF(C8="",F10+F16+F19,0)</f>
        <v>0</v>
      </c>
      <c r="G4" s="28">
        <f t="shared" ref="G4" si="0">IF(D8="",G10+G16+G19,0)</f>
        <v>0</v>
      </c>
      <c r="H4" s="29">
        <f>IF(B8="",H10+H16+H19,0)</f>
        <v>0</v>
      </c>
    </row>
    <row r="5" spans="1:13" x14ac:dyDescent="0.25">
      <c r="A5" s="24"/>
      <c r="B5" s="23"/>
      <c r="C5" s="21"/>
      <c r="D5" s="20"/>
      <c r="E5" s="21"/>
      <c r="F5" s="21"/>
      <c r="G5" s="21"/>
      <c r="H5" s="21"/>
    </row>
    <row r="6" spans="1:13" ht="56.25" x14ac:dyDescent="0.25">
      <c r="A6" s="36"/>
      <c r="B6" s="25"/>
      <c r="C6" s="18" t="s">
        <v>67</v>
      </c>
      <c r="D6" s="18" t="s">
        <v>68</v>
      </c>
      <c r="E6" s="18" t="s">
        <v>69</v>
      </c>
      <c r="F6" s="18" t="s">
        <v>70</v>
      </c>
      <c r="G6" s="18" t="s">
        <v>71</v>
      </c>
      <c r="H6" s="18" t="s">
        <v>72</v>
      </c>
      <c r="I6" s="18" t="s">
        <v>73</v>
      </c>
      <c r="J6" s="18" t="s">
        <v>74</v>
      </c>
      <c r="K6" s="18" t="s">
        <v>75</v>
      </c>
      <c r="L6" s="18" t="s">
        <v>76</v>
      </c>
      <c r="M6" s="18" t="s">
        <v>77</v>
      </c>
    </row>
    <row r="7" spans="1:13" ht="18.75" x14ac:dyDescent="0.25">
      <c r="A7" s="59" t="s">
        <v>475</v>
      </c>
      <c r="B7" s="58" t="s">
        <v>476</v>
      </c>
      <c r="C7" s="19"/>
      <c r="D7" s="19"/>
      <c r="E7" s="64">
        <f>E10+E16+E19</f>
        <v>0</v>
      </c>
      <c r="F7" s="64">
        <f t="shared" ref="F7:H7" si="1">F10+F16+F19</f>
        <v>0</v>
      </c>
      <c r="G7" s="64">
        <f t="shared" si="1"/>
        <v>0</v>
      </c>
      <c r="H7" s="64">
        <f t="shared" si="1"/>
        <v>0</v>
      </c>
      <c r="I7" s="19"/>
      <c r="J7" s="19"/>
      <c r="K7" s="19"/>
      <c r="L7" s="19"/>
      <c r="M7" s="19"/>
    </row>
    <row r="8" spans="1:13" ht="18.75" x14ac:dyDescent="0.25">
      <c r="A8" s="59"/>
      <c r="B8" s="61"/>
      <c r="C8" s="62"/>
      <c r="D8" s="62"/>
      <c r="E8" s="62"/>
      <c r="F8" s="62"/>
      <c r="G8" s="62"/>
      <c r="H8" s="62"/>
      <c r="I8" s="62"/>
      <c r="J8" s="62"/>
      <c r="K8" s="62"/>
      <c r="L8" s="62"/>
      <c r="M8" s="62"/>
    </row>
    <row r="9" spans="1:13" x14ac:dyDescent="0.25">
      <c r="A9" s="41" t="s">
        <v>477</v>
      </c>
      <c r="B9" s="60" t="s">
        <v>478</v>
      </c>
      <c r="C9" s="7"/>
      <c r="D9" s="37"/>
      <c r="E9" s="37"/>
      <c r="F9" s="37"/>
      <c r="G9" s="37"/>
      <c r="H9" s="37"/>
      <c r="I9" s="37"/>
      <c r="J9" s="37"/>
      <c r="K9" s="37"/>
      <c r="L9" s="37"/>
      <c r="M9" s="37"/>
    </row>
    <row r="10" spans="1:13" ht="45" x14ac:dyDescent="0.25">
      <c r="A10" s="42" t="s">
        <v>479</v>
      </c>
      <c r="B10" s="39" t="s">
        <v>480</v>
      </c>
      <c r="C10" s="38" t="s">
        <v>100</v>
      </c>
      <c r="D10" s="37">
        <v>2</v>
      </c>
      <c r="E10" s="37">
        <f>IF(J10=1,$I10,"")</f>
        <v>0</v>
      </c>
      <c r="F10" s="37">
        <f t="shared" ref="F10:H10" si="2">IF(K10=1,$I10," ")</f>
        <v>0</v>
      </c>
      <c r="G10" s="37">
        <f t="shared" si="2"/>
        <v>0</v>
      </c>
      <c r="H10" s="37">
        <f t="shared" si="2"/>
        <v>0</v>
      </c>
      <c r="I10" s="37">
        <f>IF(H11="PLEASE INPUT",0,IF(C10="Y",D10,0))</f>
        <v>0</v>
      </c>
      <c r="J10" s="37">
        <v>1</v>
      </c>
      <c r="K10" s="37">
        <v>1</v>
      </c>
      <c r="L10" s="37">
        <v>1</v>
      </c>
      <c r="M10" s="37">
        <v>1</v>
      </c>
    </row>
    <row r="11" spans="1:13" ht="30" x14ac:dyDescent="0.25">
      <c r="A11" s="42" t="s">
        <v>481</v>
      </c>
      <c r="B11" s="51" t="s">
        <v>482</v>
      </c>
      <c r="C11" s="140"/>
      <c r="D11" s="141"/>
      <c r="E11" s="141"/>
      <c r="F11" s="141"/>
      <c r="G11" s="142"/>
      <c r="H11" s="48" t="str">
        <f>IF(C10="Y",IF(C11="","PLEASE INPUT",""),"")</f>
        <v/>
      </c>
      <c r="I11" s="48"/>
      <c r="J11" s="37"/>
      <c r="K11" s="37"/>
      <c r="L11" s="37"/>
      <c r="M11" s="37"/>
    </row>
    <row r="12" spans="1:13" ht="30" x14ac:dyDescent="0.25">
      <c r="A12" s="42" t="s">
        <v>485</v>
      </c>
      <c r="B12" s="51" t="s">
        <v>560</v>
      </c>
      <c r="C12" s="140"/>
      <c r="D12" s="149"/>
      <c r="E12" s="149"/>
      <c r="F12" s="149"/>
      <c r="G12" s="150"/>
      <c r="H12" s="48" t="str">
        <f>IF(C10="Y",IF(C12="","PLEASE INPUT",""),"")</f>
        <v/>
      </c>
      <c r="I12" s="48"/>
      <c r="J12" s="37"/>
      <c r="K12" s="37"/>
      <c r="L12" s="37"/>
      <c r="M12" s="37"/>
    </row>
    <row r="13" spans="1:13" ht="30" x14ac:dyDescent="0.25">
      <c r="A13" s="42" t="s">
        <v>486</v>
      </c>
      <c r="B13" s="39" t="s">
        <v>483</v>
      </c>
      <c r="C13" s="38" t="s">
        <v>100</v>
      </c>
      <c r="D13" s="37">
        <v>1</v>
      </c>
      <c r="E13" s="37">
        <f>IF(J13=1,$I13,"")</f>
        <v>0</v>
      </c>
      <c r="F13" s="37">
        <f t="shared" ref="F13" si="3">IF(K13=1,$I13," ")</f>
        <v>0</v>
      </c>
      <c r="G13" s="37">
        <f t="shared" ref="G13" si="4">IF(L13=1,$I13," ")</f>
        <v>0</v>
      </c>
      <c r="H13" s="37">
        <f t="shared" ref="H13" si="5">IF(M13=1,$I13," ")</f>
        <v>0</v>
      </c>
      <c r="I13" s="37">
        <f>IF(H14="PLEASE INPUT",0,IF(C13="Y",D13,0))</f>
        <v>0</v>
      </c>
      <c r="J13" s="37">
        <v>1</v>
      </c>
      <c r="K13" s="37">
        <v>1</v>
      </c>
      <c r="L13" s="37">
        <v>1</v>
      </c>
      <c r="M13" s="37">
        <v>1</v>
      </c>
    </row>
    <row r="14" spans="1:13" ht="30" x14ac:dyDescent="0.25">
      <c r="A14" s="42" t="s">
        <v>488</v>
      </c>
      <c r="B14" s="51" t="s">
        <v>484</v>
      </c>
      <c r="C14" s="140"/>
      <c r="D14" s="141"/>
      <c r="E14" s="141"/>
      <c r="F14" s="141"/>
      <c r="G14" s="142"/>
      <c r="H14" s="48" t="str">
        <f>IF(C13="Y",IF(C14="","PLEASE INPUT",""),"")</f>
        <v/>
      </c>
      <c r="I14" s="48"/>
      <c r="J14" s="37"/>
      <c r="K14" s="37"/>
      <c r="L14" s="37"/>
      <c r="M14" s="37"/>
    </row>
    <row r="15" spans="1:13" ht="30" x14ac:dyDescent="0.25">
      <c r="A15" s="42" t="s">
        <v>489</v>
      </c>
      <c r="B15" s="51" t="s">
        <v>560</v>
      </c>
      <c r="C15" s="140"/>
      <c r="D15" s="149"/>
      <c r="E15" s="149"/>
      <c r="F15" s="149"/>
      <c r="G15" s="150"/>
      <c r="H15" s="48" t="str">
        <f>IF(C13="Y",IF(C15="","PLEASE INPUT",""),"")</f>
        <v/>
      </c>
      <c r="I15" s="48"/>
      <c r="J15" s="37"/>
      <c r="K15" s="37"/>
      <c r="L15" s="37"/>
      <c r="M15" s="37"/>
    </row>
    <row r="16" spans="1:13" ht="32.25" customHeight="1" x14ac:dyDescent="0.25">
      <c r="A16" s="42" t="s">
        <v>490</v>
      </c>
      <c r="B16" s="39" t="s">
        <v>559</v>
      </c>
      <c r="C16" s="38" t="s">
        <v>100</v>
      </c>
      <c r="D16" s="37">
        <v>2</v>
      </c>
      <c r="E16" s="37">
        <f>IF(J16=1,$I16,"")</f>
        <v>0</v>
      </c>
      <c r="F16" s="37">
        <f t="shared" ref="F16" si="6">IF(K16=1,$I16," ")</f>
        <v>0</v>
      </c>
      <c r="G16" s="37">
        <f t="shared" ref="G16" si="7">IF(L16=1,$I16," ")</f>
        <v>0</v>
      </c>
      <c r="H16" s="37">
        <f t="shared" ref="H16" si="8">IF(M16=1,$I16," ")</f>
        <v>0</v>
      </c>
      <c r="I16" s="37">
        <f>IF(H17="PLEASE INPUT",0,IF(C16="Y",D16,0))</f>
        <v>0</v>
      </c>
      <c r="J16" s="37">
        <v>1</v>
      </c>
      <c r="K16" s="37">
        <v>1</v>
      </c>
      <c r="L16" s="37">
        <v>1</v>
      </c>
      <c r="M16" s="37">
        <v>1</v>
      </c>
    </row>
    <row r="17" spans="1:13" ht="31.5" customHeight="1" x14ac:dyDescent="0.25">
      <c r="A17" s="42" t="s">
        <v>568</v>
      </c>
      <c r="B17" s="51" t="s">
        <v>487</v>
      </c>
      <c r="C17" s="140"/>
      <c r="D17" s="141"/>
      <c r="E17" s="141"/>
      <c r="F17" s="141"/>
      <c r="G17" s="142"/>
      <c r="H17" s="48" t="str">
        <f>IF(C16="Y",IF(C17="","PLEASE INPUT",""),"")</f>
        <v/>
      </c>
      <c r="I17" s="48"/>
      <c r="J17" s="37"/>
      <c r="K17" s="37"/>
      <c r="L17" s="37"/>
      <c r="M17" s="37"/>
    </row>
    <row r="18" spans="1:13" ht="30" x14ac:dyDescent="0.25">
      <c r="A18" s="42" t="s">
        <v>569</v>
      </c>
      <c r="B18" s="51" t="s">
        <v>560</v>
      </c>
      <c r="C18" s="140"/>
      <c r="D18" s="149"/>
      <c r="E18" s="149"/>
      <c r="F18" s="149"/>
      <c r="G18" s="150"/>
      <c r="H18" s="48" t="str">
        <f>IF(C16="Y",IF(C18="","PLEASE INPUT",""),"")</f>
        <v/>
      </c>
      <c r="I18" s="48"/>
      <c r="J18" s="37"/>
      <c r="K18" s="37"/>
      <c r="L18" s="37"/>
      <c r="M18" s="37"/>
    </row>
    <row r="19" spans="1:13" ht="74.25" customHeight="1" x14ac:dyDescent="0.25">
      <c r="A19" s="42" t="s">
        <v>570</v>
      </c>
      <c r="B19" s="39" t="s">
        <v>556</v>
      </c>
      <c r="C19" s="38" t="s">
        <v>100</v>
      </c>
      <c r="D19" s="37">
        <v>2</v>
      </c>
      <c r="E19" s="37">
        <f>IF(J19=1,$I19,"")</f>
        <v>0</v>
      </c>
      <c r="F19" s="37">
        <f t="shared" ref="F19" si="9">IF(K19=1,$I19," ")</f>
        <v>0</v>
      </c>
      <c r="G19" s="37">
        <f t="shared" ref="G19" si="10">IF(L19=1,$I19," ")</f>
        <v>0</v>
      </c>
      <c r="H19" s="37">
        <f t="shared" ref="H19" si="11">IF(M19=1,$I19," ")</f>
        <v>0</v>
      </c>
      <c r="I19" s="37">
        <f>IF(COUNTIF(H20:H21,"PLEASE INPUT")&gt;0,0,IF(C19="Y",D19,0))</f>
        <v>0</v>
      </c>
      <c r="J19" s="37">
        <v>1</v>
      </c>
      <c r="K19" s="37">
        <v>1</v>
      </c>
      <c r="L19" s="37">
        <v>1</v>
      </c>
      <c r="M19" s="37">
        <v>1</v>
      </c>
    </row>
    <row r="20" spans="1:13" ht="30" x14ac:dyDescent="0.25">
      <c r="A20" s="42" t="s">
        <v>571</v>
      </c>
      <c r="B20" s="51" t="s">
        <v>557</v>
      </c>
      <c r="C20" s="143"/>
      <c r="D20" s="144"/>
      <c r="E20" s="144"/>
      <c r="F20" s="144"/>
      <c r="G20" s="145"/>
      <c r="H20" s="48" t="str">
        <f>IF(C19="Y",IF(C20="","PLEASE INPUT",""),"")</f>
        <v/>
      </c>
      <c r="I20" s="48"/>
      <c r="J20" s="37"/>
      <c r="K20" s="37"/>
      <c r="L20" s="37"/>
      <c r="M20" s="37"/>
    </row>
    <row r="21" spans="1:13" ht="52.5" customHeight="1" x14ac:dyDescent="0.25">
      <c r="A21" s="42" t="s">
        <v>572</v>
      </c>
      <c r="B21" s="51" t="s">
        <v>558</v>
      </c>
      <c r="C21" s="143"/>
      <c r="D21" s="144"/>
      <c r="E21" s="144"/>
      <c r="F21" s="144"/>
      <c r="G21" s="145"/>
      <c r="H21" s="48" t="str">
        <f>IF(C19="Y",IF(C21="","PLEASE INPUT",""),"")</f>
        <v/>
      </c>
      <c r="I21" s="48"/>
      <c r="J21" s="37"/>
      <c r="K21" s="37"/>
      <c r="L21" s="37"/>
      <c r="M21" s="37"/>
    </row>
    <row r="22" spans="1:13" ht="30" x14ac:dyDescent="0.25">
      <c r="A22" s="41" t="s">
        <v>491</v>
      </c>
      <c r="B22" s="60" t="s">
        <v>492</v>
      </c>
      <c r="C22" s="7"/>
      <c r="D22" s="37"/>
      <c r="E22" s="37"/>
      <c r="F22" s="37"/>
      <c r="G22" s="37"/>
      <c r="H22" s="37"/>
      <c r="I22" s="37"/>
      <c r="J22" s="37"/>
      <c r="K22" s="37"/>
      <c r="L22" s="37"/>
      <c r="M22" s="37"/>
    </row>
    <row r="23" spans="1:13" ht="34.5" customHeight="1" x14ac:dyDescent="0.25">
      <c r="A23" s="42"/>
      <c r="B23" s="146" t="s">
        <v>493</v>
      </c>
      <c r="C23" s="147"/>
      <c r="D23" s="147"/>
      <c r="E23" s="147"/>
      <c r="F23" s="147"/>
      <c r="G23" s="147"/>
      <c r="H23" s="148"/>
      <c r="I23" s="37"/>
      <c r="J23" s="37"/>
      <c r="K23" s="37"/>
      <c r="L23" s="37"/>
      <c r="M23" s="37"/>
    </row>
    <row r="24" spans="1:13" ht="81" customHeight="1" x14ac:dyDescent="0.25">
      <c r="A24" s="42" t="s">
        <v>494</v>
      </c>
      <c r="B24" s="137"/>
      <c r="C24" s="138"/>
      <c r="D24" s="138"/>
      <c r="E24" s="138"/>
      <c r="F24" s="138"/>
      <c r="G24" s="138"/>
      <c r="H24" s="139"/>
      <c r="I24" s="37"/>
      <c r="J24" s="37"/>
      <c r="K24" s="37"/>
      <c r="L24" s="37"/>
      <c r="M24" s="37"/>
    </row>
    <row r="25" spans="1:13" ht="81" customHeight="1" x14ac:dyDescent="0.25">
      <c r="A25" s="42" t="s">
        <v>495</v>
      </c>
      <c r="B25" s="137"/>
      <c r="C25" s="138"/>
      <c r="D25" s="138"/>
      <c r="E25" s="138"/>
      <c r="F25" s="138"/>
      <c r="G25" s="138"/>
      <c r="H25" s="139"/>
      <c r="I25" s="37"/>
      <c r="J25" s="37"/>
      <c r="K25" s="37"/>
      <c r="L25" s="37"/>
      <c r="M25" s="37"/>
    </row>
    <row r="26" spans="1:13" ht="81" customHeight="1" x14ac:dyDescent="0.25">
      <c r="A26" s="42" t="s">
        <v>496</v>
      </c>
      <c r="B26" s="137"/>
      <c r="C26" s="138"/>
      <c r="D26" s="138"/>
      <c r="E26" s="138"/>
      <c r="F26" s="138"/>
      <c r="G26" s="138"/>
      <c r="H26" s="139"/>
      <c r="I26" s="37"/>
      <c r="J26" s="37"/>
      <c r="K26" s="37"/>
      <c r="L26" s="37"/>
      <c r="M26" s="37"/>
    </row>
    <row r="27" spans="1:13" ht="81" customHeight="1" x14ac:dyDescent="0.25">
      <c r="A27" s="42" t="s">
        <v>497</v>
      </c>
      <c r="B27" s="137"/>
      <c r="C27" s="138"/>
      <c r="D27" s="138"/>
      <c r="E27" s="138"/>
      <c r="F27" s="138"/>
      <c r="G27" s="138"/>
      <c r="H27" s="139"/>
      <c r="I27" s="37"/>
      <c r="J27" s="37"/>
      <c r="K27" s="37"/>
      <c r="L27" s="37"/>
      <c r="M27" s="37"/>
    </row>
    <row r="28" spans="1:13" ht="81" customHeight="1" x14ac:dyDescent="0.25">
      <c r="A28" s="42" t="s">
        <v>498</v>
      </c>
      <c r="B28" s="137"/>
      <c r="C28" s="138"/>
      <c r="D28" s="138"/>
      <c r="E28" s="138"/>
      <c r="F28" s="138"/>
      <c r="G28" s="138"/>
      <c r="H28" s="139"/>
      <c r="I28" s="37"/>
      <c r="J28" s="37"/>
      <c r="K28" s="37"/>
      <c r="L28" s="37"/>
      <c r="M28" s="37"/>
    </row>
    <row r="29" spans="1:13" ht="15.75" thickBot="1" x14ac:dyDescent="0.3"/>
    <row r="30" spans="1:13" ht="45" x14ac:dyDescent="0.25">
      <c r="C30" s="32"/>
      <c r="D30" s="30"/>
      <c r="E30" s="26" t="str">
        <f t="shared" ref="E30:H31" si="12">E3</f>
        <v>For Persons with Disabilities</v>
      </c>
      <c r="F30" s="26" t="str">
        <f t="shared" si="12"/>
        <v>For the Elderly</v>
      </c>
      <c r="G30" s="26" t="str">
        <f t="shared" si="12"/>
        <v>For Families with Young Children</v>
      </c>
      <c r="H30" s="27" t="str">
        <f t="shared" si="12"/>
        <v>For Expectant / Nursing Mothers</v>
      </c>
    </row>
    <row r="31" spans="1:13" ht="24" thickBot="1" x14ac:dyDescent="0.3">
      <c r="C31" s="34" t="str">
        <f>C4</f>
        <v>Total Points Scored</v>
      </c>
      <c r="D31" s="31"/>
      <c r="E31" s="28">
        <f t="shared" si="12"/>
        <v>0</v>
      </c>
      <c r="F31" s="28">
        <f t="shared" si="12"/>
        <v>0</v>
      </c>
      <c r="G31" s="28">
        <f t="shared" si="12"/>
        <v>0</v>
      </c>
      <c r="H31" s="29">
        <f t="shared" si="12"/>
        <v>0</v>
      </c>
    </row>
  </sheetData>
  <sheetProtection algorithmName="SHA-512" hashValue="HB4kWnvGbUt+rSNIKp93ueGPWZSGUr+Q4OEaIDbRwpo+9J+1QzC45lL9PRFE9r7qOFnFm5LWZchUztDruG4RKg==" saltValue="446DXu32LdL1UKXn80JNMg==" spinCount="100000" sheet="1" objects="1" scenarios="1"/>
  <protectedRanges>
    <protectedRange sqref="C10 C11:G12 C16 C17:G18 C19 C20:G21 B24:H28 C13 C14:G15" name="M"/>
  </protectedRanges>
  <mergeCells count="14">
    <mergeCell ref="B25:H25"/>
    <mergeCell ref="B26:H26"/>
    <mergeCell ref="B27:H27"/>
    <mergeCell ref="B28:H28"/>
    <mergeCell ref="C11:G11"/>
    <mergeCell ref="C17:G17"/>
    <mergeCell ref="C20:G20"/>
    <mergeCell ref="C21:G21"/>
    <mergeCell ref="B23:H23"/>
    <mergeCell ref="B24:H24"/>
    <mergeCell ref="C14:G14"/>
    <mergeCell ref="C18:G18"/>
    <mergeCell ref="C15:G15"/>
    <mergeCell ref="C12:G12"/>
  </mergeCells>
  <conditionalFormatting sqref="E9:H10 E16:H16 E22:H22">
    <cfRule type="cellIs" dxfId="5" priority="9" stopIfTrue="1" operator="equal">
      <formula>" "</formula>
    </cfRule>
    <cfRule type="cellIs" dxfId="4" priority="10" operator="greaterThan">
      <formula>0</formula>
    </cfRule>
  </conditionalFormatting>
  <conditionalFormatting sqref="E13:H13">
    <cfRule type="cellIs" dxfId="3" priority="1" stopIfTrue="1" operator="equal">
      <formula>" "</formula>
    </cfRule>
    <cfRule type="cellIs" dxfId="2" priority="2" operator="greaterThan">
      <formula>0</formula>
    </cfRule>
  </conditionalFormatting>
  <conditionalFormatting sqref="E19:H19">
    <cfRule type="cellIs" dxfId="1" priority="7" stopIfTrue="1" operator="equal">
      <formula>" "</formula>
    </cfRule>
    <cfRule type="cellIs" dxfId="0" priority="8" operator="greaterThan">
      <formula>0</formula>
    </cfRule>
  </conditionalFormatting>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xr:uid="{E5203674-DEC4-4E13-AFB7-987F23126C72}">
          <x14:formula1>
            <xm:f>References!$A$1:$A$2</xm:f>
          </x14:formula1>
          <xm:sqref>C10 C16 C19 C13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DB69-1740-415D-B23E-9219B64D9635}">
  <dimension ref="A1:Q47"/>
  <sheetViews>
    <sheetView zoomScaleNormal="100" workbookViewId="0">
      <selection activeCell="M55" sqref="M55"/>
    </sheetView>
  </sheetViews>
  <sheetFormatPr defaultRowHeight="15" x14ac:dyDescent="0.25"/>
  <cols>
    <col min="2" max="2" width="13" customWidth="1"/>
    <col min="3" max="6" width="8.28515625" customWidth="1"/>
  </cols>
  <sheetData>
    <row r="1" spans="1:17" x14ac:dyDescent="0.25">
      <c r="A1" s="21" t="s">
        <v>100</v>
      </c>
      <c r="P1" t="s">
        <v>78</v>
      </c>
      <c r="Q1" t="s">
        <v>499</v>
      </c>
    </row>
    <row r="2" spans="1:17" x14ac:dyDescent="0.25">
      <c r="A2" s="21" t="s">
        <v>143</v>
      </c>
      <c r="P2" t="s">
        <v>131</v>
      </c>
      <c r="Q2" t="s">
        <v>500</v>
      </c>
    </row>
    <row r="3" spans="1:17" x14ac:dyDescent="0.25">
      <c r="A3" s="21"/>
      <c r="P3" t="s">
        <v>204</v>
      </c>
      <c r="Q3" t="s">
        <v>501</v>
      </c>
    </row>
    <row r="4" spans="1:17" x14ac:dyDescent="0.25">
      <c r="A4" s="21" t="s">
        <v>246</v>
      </c>
      <c r="P4" t="s">
        <v>233</v>
      </c>
      <c r="Q4" t="s">
        <v>502</v>
      </c>
    </row>
    <row r="5" spans="1:17" x14ac:dyDescent="0.25">
      <c r="A5" s="21" t="s">
        <v>100</v>
      </c>
      <c r="P5" t="s">
        <v>503</v>
      </c>
      <c r="Q5" t="s">
        <v>504</v>
      </c>
    </row>
    <row r="6" spans="1:17" x14ac:dyDescent="0.25">
      <c r="A6" s="21" t="s">
        <v>143</v>
      </c>
      <c r="P6" t="s">
        <v>505</v>
      </c>
      <c r="Q6" t="s">
        <v>506</v>
      </c>
    </row>
    <row r="7" spans="1:17" x14ac:dyDescent="0.25">
      <c r="P7" t="s">
        <v>507</v>
      </c>
      <c r="Q7" t="s">
        <v>508</v>
      </c>
    </row>
    <row r="8" spans="1:17" x14ac:dyDescent="0.25">
      <c r="P8" t="s">
        <v>509</v>
      </c>
      <c r="Q8" t="s">
        <v>510</v>
      </c>
    </row>
    <row r="9" spans="1:17" x14ac:dyDescent="0.25">
      <c r="A9" s="67" t="s">
        <v>511</v>
      </c>
      <c r="P9" t="s">
        <v>512</v>
      </c>
      <c r="Q9" t="s">
        <v>513</v>
      </c>
    </row>
    <row r="10" spans="1:17" x14ac:dyDescent="0.25">
      <c r="A10" s="67" t="s">
        <v>514</v>
      </c>
      <c r="P10" t="s">
        <v>515</v>
      </c>
      <c r="Q10" t="s">
        <v>516</v>
      </c>
    </row>
    <row r="11" spans="1:17" x14ac:dyDescent="0.25">
      <c r="A11" s="67" t="s">
        <v>517</v>
      </c>
      <c r="P11" t="s">
        <v>518</v>
      </c>
      <c r="Q11" t="s">
        <v>519</v>
      </c>
    </row>
    <row r="12" spans="1:17" x14ac:dyDescent="0.25">
      <c r="A12" s="67"/>
      <c r="P12" t="s">
        <v>520</v>
      </c>
      <c r="Q12" t="s">
        <v>521</v>
      </c>
    </row>
    <row r="13" spans="1:17" x14ac:dyDescent="0.25">
      <c r="P13" t="s">
        <v>522</v>
      </c>
      <c r="Q13" t="s">
        <v>523</v>
      </c>
    </row>
    <row r="14" spans="1:17" x14ac:dyDescent="0.25">
      <c r="A14" s="68" t="s">
        <v>524</v>
      </c>
      <c r="P14" t="s">
        <v>525</v>
      </c>
      <c r="Q14" t="s">
        <v>526</v>
      </c>
    </row>
    <row r="15" spans="1:17" x14ac:dyDescent="0.25">
      <c r="A15" s="68" t="s">
        <v>527</v>
      </c>
      <c r="P15" t="s">
        <v>528</v>
      </c>
      <c r="Q15" t="s">
        <v>529</v>
      </c>
    </row>
    <row r="16" spans="1:17" x14ac:dyDescent="0.25">
      <c r="A16" s="68" t="s">
        <v>530</v>
      </c>
      <c r="P16" t="str">
        <f>""</f>
        <v/>
      </c>
      <c r="Q16" t="s">
        <v>531</v>
      </c>
    </row>
    <row r="19" spans="1:15" x14ac:dyDescent="0.25">
      <c r="B19" s="81" t="s">
        <v>532</v>
      </c>
      <c r="C19" s="81" t="s">
        <v>533</v>
      </c>
      <c r="N19" t="str">
        <f>_xlfn.CONCAT(N20:N23)</f>
        <v/>
      </c>
      <c r="O19" t="str">
        <f>VLOOKUP(N19,P1:Q16,2,FALSE)</f>
        <v>some user groups</v>
      </c>
    </row>
    <row r="20" spans="1:15" x14ac:dyDescent="0.25">
      <c r="A20" t="s">
        <v>78</v>
      </c>
      <c r="B20" s="21">
        <v>5</v>
      </c>
      <c r="C20" s="67" t="s">
        <v>534</v>
      </c>
      <c r="L20">
        <f>'Project Info'!G30</f>
        <v>0</v>
      </c>
      <c r="M20" t="s">
        <v>535</v>
      </c>
      <c r="N20" t="str">
        <f>IF(L20=1,"A","")</f>
        <v/>
      </c>
    </row>
    <row r="21" spans="1:15" x14ac:dyDescent="0.25">
      <c r="A21" t="s">
        <v>131</v>
      </c>
      <c r="B21" s="21">
        <v>4</v>
      </c>
      <c r="C21" s="67" t="str">
        <f>"Very Good Universal Design Provisions 
- Caters well to "&amp;O19</f>
        <v>Very Good Universal Design Provisions 
- Caters well to some user groups</v>
      </c>
      <c r="L21">
        <f>'Project Info'!G31</f>
        <v>0</v>
      </c>
      <c r="M21" t="s">
        <v>500</v>
      </c>
      <c r="N21" t="str">
        <f>IF(L21=1,"B","")</f>
        <v/>
      </c>
    </row>
    <row r="22" spans="1:15" x14ac:dyDescent="0.25">
      <c r="A22" t="s">
        <v>204</v>
      </c>
      <c r="B22" s="21">
        <v>3</v>
      </c>
      <c r="C22" s="67" t="str">
        <f>"Good Universal Design Provisions 
- Caters to "&amp;O19</f>
        <v>Good Universal Design Provisions 
- Caters to some user groups</v>
      </c>
      <c r="L22">
        <f>'Project Info'!G32</f>
        <v>0</v>
      </c>
      <c r="M22" t="s">
        <v>501</v>
      </c>
      <c r="N22" t="str">
        <f>IF(L22=1,"C","")</f>
        <v/>
      </c>
    </row>
    <row r="23" spans="1:15" x14ac:dyDescent="0.25">
      <c r="A23" t="s">
        <v>233</v>
      </c>
      <c r="B23" s="21"/>
      <c r="C23" s="67" t="s">
        <v>536</v>
      </c>
      <c r="L23">
        <f>'Project Info'!G33</f>
        <v>0</v>
      </c>
      <c r="M23" t="s">
        <v>537</v>
      </c>
      <c r="N23" t="str">
        <f>IF(L23=1,"D","")</f>
        <v/>
      </c>
    </row>
    <row r="24" spans="1:15" x14ac:dyDescent="0.25">
      <c r="A24" t="s">
        <v>251</v>
      </c>
      <c r="B24" s="21">
        <v>1</v>
      </c>
      <c r="C24" s="67" t="s">
        <v>538</v>
      </c>
    </row>
    <row r="26" spans="1:15" x14ac:dyDescent="0.25">
      <c r="C26" t="s">
        <v>539</v>
      </c>
      <c r="D26" t="s">
        <v>26</v>
      </c>
      <c r="E26" t="s">
        <v>540</v>
      </c>
      <c r="F26" t="s">
        <v>541</v>
      </c>
    </row>
    <row r="27" spans="1:15" x14ac:dyDescent="0.25">
      <c r="B27" s="20" t="s">
        <v>542</v>
      </c>
      <c r="C27">
        <v>24</v>
      </c>
      <c r="D27">
        <v>24</v>
      </c>
      <c r="E27">
        <v>19</v>
      </c>
      <c r="F27">
        <v>14</v>
      </c>
    </row>
    <row r="28" spans="1:15" x14ac:dyDescent="0.25">
      <c r="B28">
        <v>0</v>
      </c>
      <c r="C28">
        <v>35</v>
      </c>
      <c r="D28">
        <v>35</v>
      </c>
      <c r="E28">
        <v>30</v>
      </c>
      <c r="F28">
        <v>25</v>
      </c>
    </row>
    <row r="29" spans="1:15" x14ac:dyDescent="0.25">
      <c r="B29">
        <v>0.5</v>
      </c>
      <c r="C29">
        <v>55</v>
      </c>
      <c r="D29">
        <v>55</v>
      </c>
      <c r="E29">
        <v>50</v>
      </c>
      <c r="F29">
        <v>45</v>
      </c>
    </row>
    <row r="30" spans="1:15" x14ac:dyDescent="0.25">
      <c r="B30">
        <v>1</v>
      </c>
    </row>
    <row r="32" spans="1:15" x14ac:dyDescent="0.25">
      <c r="A32" t="s">
        <v>543</v>
      </c>
    </row>
    <row r="34" spans="1:9" x14ac:dyDescent="0.25">
      <c r="A34" t="s">
        <v>544</v>
      </c>
    </row>
    <row r="35" spans="1:9" x14ac:dyDescent="0.25">
      <c r="A35" t="s">
        <v>545</v>
      </c>
    </row>
    <row r="37" spans="1:9" x14ac:dyDescent="0.25">
      <c r="B37" s="101"/>
      <c r="C37" s="101" t="s">
        <v>546</v>
      </c>
      <c r="D37" s="101" t="s">
        <v>26</v>
      </c>
      <c r="E37" s="101" t="s">
        <v>540</v>
      </c>
      <c r="F37" s="101" t="s">
        <v>541</v>
      </c>
      <c r="G37" s="101" t="s">
        <v>547</v>
      </c>
    </row>
    <row r="38" spans="1:9" ht="42" customHeight="1" x14ac:dyDescent="0.25">
      <c r="B38" s="82"/>
      <c r="C38" s="83"/>
      <c r="D38" s="83"/>
      <c r="E38" s="83"/>
      <c r="F38" s="83"/>
      <c r="G38" s="83"/>
      <c r="H38" s="82"/>
      <c r="I38" s="82"/>
    </row>
    <row r="39" spans="1:9" ht="42" customHeight="1" x14ac:dyDescent="0.25">
      <c r="B39" s="82"/>
      <c r="C39" s="83"/>
      <c r="D39" s="83"/>
      <c r="E39" s="83"/>
      <c r="F39" s="83"/>
      <c r="G39" s="83"/>
      <c r="H39" s="82"/>
      <c r="I39" s="82"/>
    </row>
    <row r="40" spans="1:9" ht="42" customHeight="1" x14ac:dyDescent="0.25">
      <c r="B40" s="82"/>
      <c r="C40" s="83"/>
      <c r="D40" s="83"/>
      <c r="E40" s="83"/>
      <c r="F40" s="83"/>
      <c r="G40" s="83"/>
      <c r="H40" s="82"/>
      <c r="I40" s="82"/>
    </row>
    <row r="43" spans="1:9" ht="50.1" customHeight="1" x14ac:dyDescent="0.25">
      <c r="C43" t="str">
        <f>'Project Info'!H30</f>
        <v>PWDZERO</v>
      </c>
    </row>
    <row r="44" spans="1:9" ht="50.1" customHeight="1" x14ac:dyDescent="0.25">
      <c r="C44" t="str">
        <f>'Project Info'!H31</f>
        <v>ELDERZERO</v>
      </c>
    </row>
    <row r="45" spans="1:9" ht="50.1" customHeight="1" x14ac:dyDescent="0.25">
      <c r="C45" t="str">
        <f>'Project Info'!H32</f>
        <v>FAMZERO</v>
      </c>
    </row>
    <row r="46" spans="1:9" ht="50.1" customHeight="1" x14ac:dyDescent="0.25">
      <c r="C46" t="str">
        <f>'Project Info'!H33</f>
        <v>MUMZERO</v>
      </c>
    </row>
    <row r="47" spans="1:9" ht="50.1" customHeight="1" x14ac:dyDescent="0.25">
      <c r="C47" t="str">
        <f>'Project Info'!H34</f>
        <v>CODEONE</v>
      </c>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D3EE-4C15-40D8-87F2-853DB4D51BB5}">
  <dimension ref="A1:IU2"/>
  <sheetViews>
    <sheetView zoomScaleNormal="100" workbookViewId="0">
      <selection activeCell="E18" sqref="E18"/>
    </sheetView>
  </sheetViews>
  <sheetFormatPr defaultRowHeight="15" x14ac:dyDescent="0.25"/>
  <cols>
    <col min="1" max="1" width="17.7109375" customWidth="1"/>
    <col min="5" max="5" width="7" customWidth="1"/>
    <col min="14" max="93" width="4.5703125" customWidth="1"/>
    <col min="94" max="235" width="5" customWidth="1"/>
    <col min="236" max="255" width="6.42578125" customWidth="1"/>
  </cols>
  <sheetData>
    <row r="1" spans="1:255" x14ac:dyDescent="0.25">
      <c r="A1" t="s">
        <v>548</v>
      </c>
      <c r="B1" t="s">
        <v>549</v>
      </c>
      <c r="C1" t="s">
        <v>4</v>
      </c>
      <c r="D1" t="s">
        <v>5</v>
      </c>
      <c r="E1" t="s">
        <v>6</v>
      </c>
      <c r="F1" t="s">
        <v>7</v>
      </c>
      <c r="G1" t="s">
        <v>8</v>
      </c>
      <c r="H1" t="s">
        <v>550</v>
      </c>
      <c r="I1" t="s">
        <v>10</v>
      </c>
      <c r="J1" t="s">
        <v>11</v>
      </c>
      <c r="K1" t="s">
        <v>12</v>
      </c>
      <c r="L1" t="s">
        <v>13</v>
      </c>
      <c r="M1" t="s">
        <v>14</v>
      </c>
      <c r="N1" t="s">
        <v>551</v>
      </c>
      <c r="O1" t="s">
        <v>552</v>
      </c>
      <c r="P1" t="s">
        <v>25</v>
      </c>
      <c r="Q1" t="s">
        <v>26</v>
      </c>
      <c r="R1" t="s">
        <v>27</v>
      </c>
      <c r="S1" t="s">
        <v>28</v>
      </c>
      <c r="T1" t="s">
        <v>25</v>
      </c>
      <c r="U1" t="s">
        <v>26</v>
      </c>
      <c r="V1" t="s">
        <v>27</v>
      </c>
      <c r="W1" t="s">
        <v>28</v>
      </c>
      <c r="X1" t="s">
        <v>78</v>
      </c>
      <c r="Y1" t="s">
        <v>131</v>
      </c>
      <c r="Z1" t="s">
        <v>204</v>
      </c>
      <c r="AA1" t="s">
        <v>233</v>
      </c>
      <c r="AB1" t="s">
        <v>251</v>
      </c>
      <c r="AC1" t="s">
        <v>265</v>
      </c>
      <c r="AD1" t="s">
        <v>301</v>
      </c>
      <c r="AE1" t="s">
        <v>371</v>
      </c>
      <c r="AF1" t="s">
        <v>392</v>
      </c>
      <c r="AG1" t="s">
        <v>416</v>
      </c>
      <c r="AH1" t="s">
        <v>450</v>
      </c>
      <c r="AI1" t="s">
        <v>475</v>
      </c>
      <c r="AJ1" t="s">
        <v>78</v>
      </c>
      <c r="AK1" t="s">
        <v>131</v>
      </c>
      <c r="AL1" t="s">
        <v>204</v>
      </c>
      <c r="AM1" t="s">
        <v>233</v>
      </c>
      <c r="AN1" t="s">
        <v>251</v>
      </c>
      <c r="AO1" t="s">
        <v>265</v>
      </c>
      <c r="AP1" t="s">
        <v>301</v>
      </c>
      <c r="AQ1" t="s">
        <v>371</v>
      </c>
      <c r="AR1" t="s">
        <v>392</v>
      </c>
      <c r="AS1" t="s">
        <v>416</v>
      </c>
      <c r="AT1" t="s">
        <v>450</v>
      </c>
      <c r="AU1" t="s">
        <v>475</v>
      </c>
      <c r="AV1" t="s">
        <v>78</v>
      </c>
      <c r="AW1" t="s">
        <v>131</v>
      </c>
      <c r="AX1" t="s">
        <v>204</v>
      </c>
      <c r="AY1" t="s">
        <v>233</v>
      </c>
      <c r="AZ1" t="s">
        <v>251</v>
      </c>
      <c r="BA1" t="s">
        <v>265</v>
      </c>
      <c r="BB1" t="s">
        <v>301</v>
      </c>
      <c r="BC1" t="s">
        <v>371</v>
      </c>
      <c r="BD1" t="s">
        <v>392</v>
      </c>
      <c r="BE1" t="s">
        <v>416</v>
      </c>
      <c r="BF1" t="s">
        <v>450</v>
      </c>
      <c r="BG1" t="s">
        <v>475</v>
      </c>
      <c r="BH1" t="s">
        <v>78</v>
      </c>
      <c r="BI1" t="s">
        <v>131</v>
      </c>
      <c r="BJ1" t="s">
        <v>204</v>
      </c>
      <c r="BK1" t="s">
        <v>233</v>
      </c>
      <c r="BL1" t="s">
        <v>251</v>
      </c>
      <c r="BM1" t="s">
        <v>265</v>
      </c>
      <c r="BN1" t="s">
        <v>301</v>
      </c>
      <c r="BO1" t="s">
        <v>371</v>
      </c>
      <c r="BP1" t="s">
        <v>392</v>
      </c>
      <c r="BQ1" t="s">
        <v>416</v>
      </c>
      <c r="BR1" t="s">
        <v>450</v>
      </c>
      <c r="BS1" t="s">
        <v>475</v>
      </c>
      <c r="BT1">
        <v>1</v>
      </c>
      <c r="BU1">
        <v>2</v>
      </c>
      <c r="BV1">
        <v>3</v>
      </c>
      <c r="BW1">
        <v>4</v>
      </c>
      <c r="BX1">
        <v>5</v>
      </c>
      <c r="BY1">
        <v>6</v>
      </c>
      <c r="BZ1">
        <v>7</v>
      </c>
      <c r="CA1">
        <v>8</v>
      </c>
      <c r="CB1">
        <v>9</v>
      </c>
      <c r="CC1">
        <v>10</v>
      </c>
      <c r="CD1">
        <v>11</v>
      </c>
      <c r="CE1">
        <v>12</v>
      </c>
      <c r="CF1">
        <v>13</v>
      </c>
      <c r="CG1">
        <v>14</v>
      </c>
      <c r="CH1">
        <v>15</v>
      </c>
      <c r="CI1">
        <v>16</v>
      </c>
      <c r="CJ1">
        <v>17</v>
      </c>
      <c r="CK1">
        <v>18</v>
      </c>
      <c r="CL1">
        <v>19</v>
      </c>
      <c r="CM1">
        <v>20</v>
      </c>
      <c r="CN1">
        <v>21</v>
      </c>
      <c r="CO1">
        <v>22</v>
      </c>
      <c r="CP1" t="str">
        <f>'Part 1 - Basic Provisions'!A9</f>
        <v>A.1.1</v>
      </c>
      <c r="CQ1" t="str">
        <f>'Part 1 - Basic Provisions'!A12</f>
        <v>A.1.3</v>
      </c>
      <c r="CR1" t="str">
        <f>'Part 1 - Basic Provisions'!A18</f>
        <v>A.1.5</v>
      </c>
      <c r="CS1" t="str">
        <f>'Part 1 - Basic Provisions'!A23</f>
        <v>A.2.1</v>
      </c>
      <c r="CT1" t="str">
        <f>'Part 1 - Basic Provisions'!A24</f>
        <v>A.2.2</v>
      </c>
      <c r="CU1" t="str">
        <f>'Part 1 - Basic Provisions'!A27</f>
        <v>A.3.1</v>
      </c>
      <c r="CV1" t="str">
        <f>'Part 1 - Basic Provisions'!A28</f>
        <v>A.3.2</v>
      </c>
      <c r="CW1" t="str">
        <f>'Part 1 - Basic Provisions'!A29</f>
        <v>A.3.3</v>
      </c>
      <c r="CX1" t="str">
        <f>'Part 1 - Basic Provisions'!A30</f>
        <v>A.3.4</v>
      </c>
      <c r="CY1" t="str">
        <f>'Part 1 - Basic Provisions'!A31</f>
        <v>A.3.5</v>
      </c>
      <c r="CZ1" t="str">
        <f>'Part 1 - Basic Provisions'!A35</f>
        <v>A.4.1</v>
      </c>
      <c r="DA1" t="str">
        <f>'Part 1 - Basic Provisions'!A36</f>
        <v>A.4.2</v>
      </c>
      <c r="DB1" t="str">
        <f>'Part 1 - Basic Provisions'!A40</f>
        <v>A.4.3</v>
      </c>
      <c r="DC1" t="str">
        <f>'Part 1 - Basic Provisions'!A42</f>
        <v>A.5.1</v>
      </c>
      <c r="DD1" t="str">
        <f>'Part 1 - Basic Provisions'!A43</f>
        <v>A.5.2</v>
      </c>
      <c r="DE1" t="str">
        <f>'Part 1 - Basic Provisions'!A47</f>
        <v>A.5.3</v>
      </c>
      <c r="DF1" t="str">
        <f>'Part 1 - Basic Provisions'!A51</f>
        <v>B.1.1</v>
      </c>
      <c r="DG1" t="str">
        <f>'Part 1 - Basic Provisions'!A52</f>
        <v>B.1.2</v>
      </c>
      <c r="DH1" t="str">
        <f>'Part 1 - Basic Provisions'!A54</f>
        <v>B.2.1</v>
      </c>
      <c r="DI1" t="str">
        <f>'Part 1 - Basic Provisions'!A55</f>
        <v>B.2.2</v>
      </c>
      <c r="DJ1" t="str">
        <f>'Part 1 - Basic Provisions'!A56</f>
        <v>B.2.3</v>
      </c>
      <c r="DK1" t="str">
        <f>'Part 1 - Basic Provisions'!A58</f>
        <v>B.3.1</v>
      </c>
      <c r="DL1" t="str">
        <f>'Part 1 - Basic Provisions'!A59</f>
        <v>B.3.2</v>
      </c>
      <c r="DM1" t="str">
        <f>'Part 1 - Basic Provisions'!A60</f>
        <v>B.3.3</v>
      </c>
      <c r="DN1" t="str">
        <f>'Part 1 - Basic Provisions'!A61</f>
        <v>B.3.4</v>
      </c>
      <c r="DO1" t="str">
        <f>'Part 1 - Basic Provisions'!A63</f>
        <v>B.4.1</v>
      </c>
      <c r="DP1" t="str">
        <f>'Part 1 - Basic Provisions'!A64</f>
        <v>B.4.2</v>
      </c>
      <c r="DQ1" t="str">
        <f>'Part 1 - Basic Provisions'!A65</f>
        <v>B.4.3</v>
      </c>
      <c r="DR1" t="str">
        <f>'Part 1 - Basic Provisions'!A66</f>
        <v>B.4.4</v>
      </c>
      <c r="DS1" t="str">
        <f>'Part 1 - Basic Provisions'!A67</f>
        <v>B.4.5</v>
      </c>
      <c r="DT1" t="str">
        <f>'Part 1 - Basic Provisions'!A69</f>
        <v>B.5.1</v>
      </c>
      <c r="DU1" t="str">
        <f>'Part 1 - Basic Provisions'!A70</f>
        <v>B.5.2</v>
      </c>
      <c r="DV1" t="str">
        <f>'Part 1 - Basic Provisions'!A71</f>
        <v>B.5.3</v>
      </c>
      <c r="DW1" t="str">
        <f>'Part 1 - Basic Provisions'!A72</f>
        <v>B.5.4</v>
      </c>
      <c r="DX1" t="str">
        <f>'Part 1 - Basic Provisions'!A74</f>
        <v>B.6.1</v>
      </c>
      <c r="DY1" t="str">
        <f>'Part 1 - Basic Provisions'!A75</f>
        <v>B.6.2</v>
      </c>
      <c r="DZ1" t="str">
        <f>'Part 1 - Basic Provisions'!A76</f>
        <v>B.6.3</v>
      </c>
      <c r="EA1" t="str">
        <f>'Part 1 - Basic Provisions'!A79</f>
        <v>B.6.4</v>
      </c>
      <c r="EB1" t="str">
        <f>'Part 1 - Basic Provisions'!A80</f>
        <v>B.6.5</v>
      </c>
      <c r="EC1" t="str">
        <f>'Part 1 - Basic Provisions'!A81</f>
        <v>B.6.6</v>
      </c>
      <c r="ED1" t="str">
        <f>'Part 1 - Basic Provisions'!A82</f>
        <v>B.6.7</v>
      </c>
      <c r="EE1" t="str">
        <f>'Part 1 - Basic Provisions'!A84</f>
        <v>B.7.1</v>
      </c>
      <c r="EF1" t="str">
        <f>'Part 1 - Basic Provisions'!A85</f>
        <v>B.7.2</v>
      </c>
      <c r="EG1" t="str">
        <f>'Part 1 - Basic Provisions'!A86</f>
        <v>B.7.3</v>
      </c>
      <c r="EH1" t="str">
        <f>'Part 1 - Basic Provisions'!A87</f>
        <v>B.7.4</v>
      </c>
      <c r="EI1" t="str">
        <f>'Part 1 - Basic Provisions'!A91</f>
        <v>C.1.1</v>
      </c>
      <c r="EJ1" t="str">
        <f>'Part 1 - Basic Provisions'!A92</f>
        <v>C.1.2</v>
      </c>
      <c r="EK1" t="str">
        <f>'Part 1 - Basic Provisions'!A93</f>
        <v>C.1.3</v>
      </c>
      <c r="EL1" t="str">
        <f>'Part 1 - Basic Provisions'!A94</f>
        <v>C.1.4</v>
      </c>
      <c r="EM1" t="str">
        <f>'Part 1 - Basic Provisions'!A97</f>
        <v>C.2.1</v>
      </c>
      <c r="EN1" t="str">
        <f>'Part 1 - Basic Provisions'!A98</f>
        <v>C.2.2</v>
      </c>
      <c r="EO1" t="str">
        <f>'Part 1 - Basic Provisions'!A99</f>
        <v>C.2.3</v>
      </c>
      <c r="EP1" t="str">
        <f>'Part 1 - Basic Provisions'!A101</f>
        <v>C.3.1</v>
      </c>
      <c r="EQ1" t="str">
        <f>'Part 1 - Basic Provisions'!A102</f>
        <v>C.3.2</v>
      </c>
      <c r="ER1" t="str">
        <f>'Part 1 - Basic Provisions'!A103</f>
        <v>C.3.3</v>
      </c>
      <c r="ES1" t="str">
        <f>'Part 1 - Basic Provisions'!A108</f>
        <v>D.1.1</v>
      </c>
      <c r="ET1" t="str">
        <f>'Part 1 - Basic Provisions'!A109</f>
        <v>D.1.2</v>
      </c>
      <c r="EU1" t="str">
        <f>'Part 1 - Basic Provisions'!A110</f>
        <v>D.1.3</v>
      </c>
      <c r="EV1" t="str">
        <f>'Part 1 - Basic Provisions'!A113</f>
        <v>D.1.4</v>
      </c>
      <c r="EW1" t="str">
        <f>'Part 1 - Basic Provisions'!A114</f>
        <v>D.1.5</v>
      </c>
      <c r="EX1" t="str">
        <f>'Part 1 - Basic Provisions'!A121</f>
        <v>E.1.1</v>
      </c>
      <c r="EY1" t="str">
        <f>'Part 1 - Basic Provisions'!A122</f>
        <v>E.1.2</v>
      </c>
      <c r="EZ1" t="str">
        <f>'Part 1 - Basic Provisions'!A123</f>
        <v>E.1.3</v>
      </c>
      <c r="FA1" t="str">
        <f>'Part 1 - Basic Provisions'!A124</f>
        <v>E.1.4</v>
      </c>
      <c r="FB1" t="str">
        <f>'Part 1 - Basic Provisions'!A125</f>
        <v>E.1.5</v>
      </c>
      <c r="FC1" t="str">
        <f>'Part 1 - Basic Provisions'!A129</f>
        <v>F.1.1</v>
      </c>
      <c r="FD1" t="str">
        <f>'Part 1 - Basic Provisions'!A130</f>
        <v>F.1.2</v>
      </c>
      <c r="FE1" t="str">
        <f>'Part 1 - Basic Provisions'!A134</f>
        <v>F.2.1</v>
      </c>
      <c r="FF1" t="str">
        <f>'Part 1 - Basic Provisions'!A135</f>
        <v>F.2.2</v>
      </c>
      <c r="FG1" t="str">
        <f>'Part 1 - Basic Provisions'!A136</f>
        <v>F.2.3</v>
      </c>
      <c r="FH1" t="str">
        <f>'Part 1 - Basic Provisions'!A139</f>
        <v>F.2.4</v>
      </c>
      <c r="FI1" t="str">
        <f>'Part 1 - Basic Provisions'!A141</f>
        <v>F.3.1</v>
      </c>
      <c r="FJ1" t="str">
        <f>'Part 1 - Basic Provisions'!A142</f>
        <v>F.3.2</v>
      </c>
      <c r="FK1" t="str">
        <f>'Part 1 - Basic Provisions'!A147</f>
        <v>F.4.1</v>
      </c>
      <c r="FL1" t="str">
        <f>'Part 1 - Basic Provisions'!A148</f>
        <v>F.4.2</v>
      </c>
      <c r="FM1" t="str">
        <f>'Part 1 - Basic Provisions'!A152</f>
        <v>F.5.1</v>
      </c>
      <c r="FN1" t="str">
        <f>'Part 1 - Basic Provisions'!A157</f>
        <v>G.1.1</v>
      </c>
      <c r="FO1" t="str">
        <f>'Part 1 - Basic Provisions'!A158</f>
        <v>G.1.2</v>
      </c>
      <c r="FP1" t="str">
        <f>'Part 1 - Basic Provisions'!A159</f>
        <v>G.1.3</v>
      </c>
      <c r="FQ1" t="str">
        <f>'Part 1 - Basic Provisions'!A163</f>
        <v>G.2.1</v>
      </c>
      <c r="FR1" t="str">
        <f>'Part 1 - Basic Provisions'!A164</f>
        <v>G.2.2</v>
      </c>
      <c r="FS1" t="str">
        <f>'Part 1 - Basic Provisions'!A165</f>
        <v>G.2.3</v>
      </c>
      <c r="FT1" t="str">
        <f>'Part 1 - Basic Provisions'!A168</f>
        <v>G.2.4</v>
      </c>
      <c r="FU1" t="str">
        <f>'Part 1 - Basic Provisions'!A169</f>
        <v>G.2.5</v>
      </c>
      <c r="FV1" t="str">
        <f>'Part 1 - Basic Provisions'!A172</f>
        <v>G.3.1</v>
      </c>
      <c r="FW1" t="str">
        <f>'Part 1 - Basic Provisions'!A173</f>
        <v>G.3.2</v>
      </c>
      <c r="FX1" t="str">
        <f>'Part 1 - Basic Provisions'!A174</f>
        <v>G.3.3</v>
      </c>
      <c r="FY1" t="str">
        <f>'Part 1 - Basic Provisions'!A177</f>
        <v>G.3.4</v>
      </c>
      <c r="FZ1" t="str">
        <f>'Part 1 - Basic Provisions'!A178</f>
        <v>G.3.5</v>
      </c>
      <c r="GA1" t="str">
        <f>'Part 1 - Basic Provisions'!A182</f>
        <v>G.4.1</v>
      </c>
      <c r="GB1" t="str">
        <f>'Part 1 - Basic Provisions'!A183</f>
        <v>G.4.2</v>
      </c>
      <c r="GC1" t="str">
        <f>'Part 1 - Basic Provisions'!A187</f>
        <v>G.5.1</v>
      </c>
      <c r="GD1" t="str">
        <f>'Part 1 - Basic Provisions'!A188</f>
        <v>G.5.2</v>
      </c>
      <c r="GE1" t="str">
        <f>'Part 1 - Basic Provisions'!A192</f>
        <v>G.6.1</v>
      </c>
      <c r="GF1" t="str">
        <f>'Part 1 - Basic Provisions'!A193</f>
        <v>G.6.2</v>
      </c>
      <c r="GG1" t="str">
        <f>'Part 1 - Basic Provisions'!A196</f>
        <v>G.6.3</v>
      </c>
      <c r="GH1" t="str">
        <f>'Part 1 - Basic Provisions'!A198</f>
        <v>G.7.1</v>
      </c>
      <c r="GI1" t="str">
        <f>'Part 1 - Basic Provisions'!A199</f>
        <v>G.7.2</v>
      </c>
      <c r="GJ1" t="str">
        <f>'Part 1 - Basic Provisions'!A203</f>
        <v>G.8.1</v>
      </c>
      <c r="GK1" t="str">
        <f>'Part 1 - Basic Provisions'!A204</f>
        <v>G.8.2</v>
      </c>
      <c r="GL1" t="str">
        <f>'Part 1 - Basic Provisions'!A208</f>
        <v>G.9.1</v>
      </c>
      <c r="GM1" t="str">
        <f>'Part 1 - Basic Provisions'!A209</f>
        <v>G.9.2</v>
      </c>
      <c r="GN1" t="str">
        <f>'Part 1 - Basic Provisions'!A215</f>
        <v>H.1</v>
      </c>
      <c r="GO1" t="str">
        <f>'Part 1 - Basic Provisions'!A217</f>
        <v>H.2.1</v>
      </c>
      <c r="GP1" t="str">
        <f>'Part 1 - Basic Provisions'!A218</f>
        <v>H.2.2</v>
      </c>
      <c r="GQ1" t="str">
        <f>'Part 1 - Basic Provisions'!A219</f>
        <v>H.2.3</v>
      </c>
      <c r="GR1" t="str">
        <f>'Part 1 - Basic Provisions'!A224</f>
        <v>H.3.1</v>
      </c>
      <c r="GS1" t="str">
        <f>'Part 1 - Basic Provisions'!A225</f>
        <v>H.3.2</v>
      </c>
      <c r="GT1" t="str">
        <f>'Part 1 - Basic Provisions'!A226</f>
        <v>H.3.3</v>
      </c>
      <c r="GU1" t="str">
        <f>'Part 2 - Specific Provisions'!A8</f>
        <v>J.1.1</v>
      </c>
      <c r="GV1" t="str">
        <f>'Part 2 - Specific Provisions'!A9</f>
        <v>J.1.2</v>
      </c>
      <c r="GW1" t="str">
        <f>'Part 2 - Specific Provisions'!A10</f>
        <v>J.1.3</v>
      </c>
      <c r="GX1" t="str">
        <f>'Part 2 - Specific Provisions'!A11</f>
        <v>J.1.4</v>
      </c>
      <c r="GY1" t="str">
        <f>'Part 2 - Specific Provisions'!A12</f>
        <v>J.1.5</v>
      </c>
      <c r="GZ1" t="str">
        <f>'Part 2 - Specific Provisions'!A13</f>
        <v>J.1.6</v>
      </c>
      <c r="HA1" t="str">
        <f>'Part 2 - Specific Provisions'!A14</f>
        <v>J.1.7</v>
      </c>
      <c r="HB1" t="str">
        <f>'Part 2 - Specific Provisions'!A15</f>
        <v>J.1.8</v>
      </c>
      <c r="HC1" t="str">
        <f>'Part 2 - Specific Provisions'!A16</f>
        <v>J.1.9</v>
      </c>
      <c r="HD1" t="str">
        <f>'Part 2 - Specific Provisions'!A17</f>
        <v>J.1.10</v>
      </c>
      <c r="HE1" t="str">
        <f>'Part 2 - Specific Provisions'!A18</f>
        <v>J.1.11</v>
      </c>
      <c r="HF1" t="str">
        <f>'Part 2 - Specific Provisions'!A23</f>
        <v>K.1.1</v>
      </c>
      <c r="HG1" t="str">
        <f>'Part 2 - Specific Provisions'!A25</f>
        <v>K.1.3</v>
      </c>
      <c r="HH1" t="str">
        <f>'Part 2 - Specific Provisions'!A26</f>
        <v>K.1.4</v>
      </c>
      <c r="HI1" t="str">
        <f>'Part 2 - Specific Provisions'!A27</f>
        <v>K.1.5</v>
      </c>
      <c r="HJ1" t="str">
        <f>'Part 2 - Specific Provisions'!A28</f>
        <v>K.1.6</v>
      </c>
      <c r="HK1" t="str">
        <f>'Part 2 - Specific Provisions'!A30</f>
        <v>K.2.1</v>
      </c>
      <c r="HL1" t="str">
        <f>'Part 2 - Specific Provisions'!A31</f>
        <v>K.2.2</v>
      </c>
      <c r="HM1" t="str">
        <f>'Part 2 - Specific Provisions'!A32</f>
        <v>K.2.3</v>
      </c>
      <c r="HN1" t="str">
        <f>'Part 2 - Specific Provisions'!A33</f>
        <v>K.2.4</v>
      </c>
      <c r="HO1" t="str">
        <f>'Part 2 - Specific Provisions'!A34</f>
        <v>K.2.5</v>
      </c>
      <c r="HP1" t="str">
        <f>'Part 2 - Specific Provisions'!A36</f>
        <v>K.3.1</v>
      </c>
      <c r="HQ1" t="str">
        <f>'Part 2 - Specific Provisions'!A37</f>
        <v>K.3.2</v>
      </c>
      <c r="HR1" t="str">
        <f>'Part 2 - Specific Provisions'!A38</f>
        <v>K.3.3</v>
      </c>
      <c r="HS1" t="str">
        <f>'Part 2 - Specific Provisions'!A39</f>
        <v>K.3.4</v>
      </c>
      <c r="HT1" t="str">
        <f>'Part 2 - Specific Provisions'!A44</f>
        <v>L.1.1</v>
      </c>
      <c r="HU1" t="str">
        <f>'Part 2 - Specific Provisions'!A45</f>
        <v>L.1.2</v>
      </c>
      <c r="HV1" t="str">
        <f>'Part 2 - Specific Provisions'!A46</f>
        <v>L.1.3</v>
      </c>
      <c r="HW1" t="str">
        <f>'Part 2 - Specific Provisions'!A47</f>
        <v>L.1.4</v>
      </c>
      <c r="HX1" t="str">
        <f>'Part 2 - Specific Provisions'!A48</f>
        <v>L.1.5</v>
      </c>
      <c r="HY1" t="str">
        <f>'Part 2 - Specific Provisions'!A49</f>
        <v>L.1.6</v>
      </c>
      <c r="HZ1" t="str">
        <f>'Part 2 - Specific Provisions'!A51</f>
        <v>L.2.1</v>
      </c>
      <c r="IA1" t="str">
        <f>'Part 2 - Specific Provisions'!A54</f>
        <v>L.2.2</v>
      </c>
      <c r="IB1" t="str">
        <f>'Part 3 - Design Process'!A10</f>
        <v>M.1.1</v>
      </c>
      <c r="IC1" t="str">
        <f>'Part 3 - Design Process'!A11</f>
        <v>M.1.2</v>
      </c>
      <c r="ID1" t="str">
        <f>'Part 3 - Design Process'!A16</f>
        <v>M.1.7</v>
      </c>
      <c r="IE1" t="str">
        <f>'Part 3 - Design Process'!A17</f>
        <v>M.1.8</v>
      </c>
      <c r="IF1" t="str">
        <f>'Part 3 - Design Process'!A19</f>
        <v>M.1.10</v>
      </c>
      <c r="IG1" t="str">
        <f>'Part 3 - Design Process'!A20</f>
        <v>M.1.11</v>
      </c>
      <c r="IH1" t="str">
        <f>'Part 3 - Design Process'!A21</f>
        <v>M.1.12</v>
      </c>
      <c r="II1" t="str">
        <f>'Part 3 - Design Process'!A24</f>
        <v>M.2.1</v>
      </c>
      <c r="IJ1" t="str">
        <f>'Part 3 - Design Process'!A25</f>
        <v>M.2.2</v>
      </c>
      <c r="IK1" t="str">
        <f>'Part 3 - Design Process'!A26</f>
        <v>M.2.3</v>
      </c>
      <c r="IL1" t="str">
        <f>'Part 3 - Design Process'!A27</f>
        <v>M.2.4</v>
      </c>
      <c r="IM1" t="str">
        <f>'Part 3 - Design Process'!A28</f>
        <v>M.2.5</v>
      </c>
      <c r="IN1" s="107" t="str">
        <f>'Part 1 - Basic Provisions'!A11</f>
        <v>A.1.2</v>
      </c>
      <c r="IO1" t="str">
        <f>'Part 1 - Basic Provisions'!A17</f>
        <v>A.1.4</v>
      </c>
      <c r="IP1" t="str">
        <f>'Part 2 - Specific Provisions'!A24</f>
        <v>K.1.2</v>
      </c>
      <c r="IQ1" t="str">
        <f>'Part 3 - Design Process'!A12</f>
        <v>M.1.3</v>
      </c>
      <c r="IR1" t="str">
        <f>'Part 3 - Design Process'!A13</f>
        <v>M.1.4</v>
      </c>
      <c r="IS1" t="str">
        <f>'Part 3 - Design Process'!A14</f>
        <v>M.1.5</v>
      </c>
      <c r="IT1" t="str">
        <f>'Part 3 - Design Process'!A15</f>
        <v>M.1.6</v>
      </c>
      <c r="IU1" t="str">
        <f>'Part 3 - Design Process'!A18</f>
        <v>M.1.9</v>
      </c>
    </row>
    <row r="2" spans="1:255" x14ac:dyDescent="0.25">
      <c r="A2" t="str" cm="1">
        <f t="array" aca="1" ref="A2" ca="1">LEFT((MID(CELL("filename"),SEARCH("[",CELL("filename"))+1, SEARCH("]",CELL("filename"))-SEARCH("[",CELL("filename"))-1)),24)</f>
        <v>BCA-BP-UDI.xlsx</v>
      </c>
      <c r="B2" t="s">
        <v>553</v>
      </c>
      <c r="C2">
        <f>'Project Info'!B7</f>
        <v>0</v>
      </c>
      <c r="D2">
        <f>'Project Info'!B8</f>
        <v>0</v>
      </c>
      <c r="E2" t="str">
        <f>PROPER('Project Info'!B9)</f>
        <v/>
      </c>
      <c r="F2">
        <f>'Project Info'!B10</f>
        <v>0</v>
      </c>
      <c r="G2" t="str">
        <f>UPPER('Project Info'!B11)</f>
        <v/>
      </c>
      <c r="H2" s="105">
        <f>'Project Info'!B12</f>
        <v>0</v>
      </c>
      <c r="I2">
        <f>'Project Info'!B13</f>
        <v>0</v>
      </c>
      <c r="J2">
        <f>'Project Info'!B14</f>
        <v>0</v>
      </c>
      <c r="K2">
        <f>'Project Info'!B16</f>
        <v>0</v>
      </c>
      <c r="L2">
        <f>'Project Info'!B17</f>
        <v>0</v>
      </c>
      <c r="M2">
        <f>'Project Info'!B18</f>
        <v>0</v>
      </c>
      <c r="N2">
        <f>'Project Info'!G23</f>
        <v>1</v>
      </c>
      <c r="O2" t="str">
        <f>'Project Info'!B23</f>
        <v>-</v>
      </c>
      <c r="P2">
        <f>'Project Info'!G30</f>
        <v>0</v>
      </c>
      <c r="Q2">
        <f>'Project Info'!G31</f>
        <v>0</v>
      </c>
      <c r="R2">
        <f>'Project Info'!G32</f>
        <v>0</v>
      </c>
      <c r="S2">
        <f>'Project Info'!G33</f>
        <v>0</v>
      </c>
      <c r="T2">
        <f>'Project Info'!F30</f>
        <v>24</v>
      </c>
      <c r="U2">
        <f>'Project Info'!F31</f>
        <v>24</v>
      </c>
      <c r="V2">
        <f>'Project Info'!F32</f>
        <v>19</v>
      </c>
      <c r="W2">
        <f>'Project Info'!F33</f>
        <v>14</v>
      </c>
      <c r="X2">
        <f>'Part 1 - Basic Provisions'!E7</f>
        <v>6</v>
      </c>
      <c r="Y2">
        <f>'Part 1 - Basic Provisions'!E49</f>
        <v>8</v>
      </c>
      <c r="Z2">
        <f>'Part 1 - Basic Provisions'!E89</f>
        <v>0</v>
      </c>
      <c r="AA2">
        <f>'Part 1 - Basic Provisions'!E105</f>
        <v>4</v>
      </c>
      <c r="AB2">
        <f>'Part 1 - Basic Provisions'!E119</f>
        <v>0</v>
      </c>
      <c r="AC2">
        <f>'Part 1 - Basic Provisions'!E127</f>
        <v>4</v>
      </c>
      <c r="AD2">
        <f>'Part 1 - Basic Provisions'!E154</f>
        <v>0</v>
      </c>
      <c r="AE2">
        <f>'Part 1 - Basic Provisions'!E213</f>
        <v>2</v>
      </c>
      <c r="AF2">
        <f>'Part 2 - Specific Provisions'!E7</f>
        <v>0</v>
      </c>
      <c r="AG2">
        <f>'Part 2 - Specific Provisions'!E20</f>
        <v>0</v>
      </c>
      <c r="AH2">
        <f>'Part 2 - Specific Provisions'!E41</f>
        <v>0</v>
      </c>
      <c r="AI2">
        <f>'Part 3 - Design Process'!E7</f>
        <v>0</v>
      </c>
      <c r="AJ2">
        <f>'Part 1 - Basic Provisions'!F7</f>
        <v>4</v>
      </c>
      <c r="AK2">
        <f>'Part 1 - Basic Provisions'!F49</f>
        <v>6</v>
      </c>
      <c r="AL2">
        <f>'Part 1 - Basic Provisions'!F89</f>
        <v>0</v>
      </c>
      <c r="AM2">
        <f>'Part 1 - Basic Provisions'!F105</f>
        <v>4</v>
      </c>
      <c r="AN2">
        <f>'Part 1 - Basic Provisions'!F119</f>
        <v>0</v>
      </c>
      <c r="AO2">
        <f>'Part 1 - Basic Provisions'!F127</f>
        <v>8</v>
      </c>
      <c r="AP2">
        <f>'Part 1 - Basic Provisions'!F154</f>
        <v>0</v>
      </c>
      <c r="AQ2">
        <f>'Part 1 - Basic Provisions'!F213</f>
        <v>2</v>
      </c>
      <c r="AR2">
        <f>'Part 2 - Specific Provisions'!F7</f>
        <v>0</v>
      </c>
      <c r="AS2">
        <f>'Part 2 - Specific Provisions'!F20</f>
        <v>0</v>
      </c>
      <c r="AT2">
        <f>'Part 2 - Specific Provisions'!F41</f>
        <v>0</v>
      </c>
      <c r="AU2">
        <f>'Part 3 - Design Process'!F7</f>
        <v>0</v>
      </c>
      <c r="AV2">
        <f>'Part 1 - Basic Provisions'!G7</f>
        <v>4</v>
      </c>
      <c r="AW2">
        <f>'Part 1 - Basic Provisions'!G49</f>
        <v>6</v>
      </c>
      <c r="AX2">
        <f>'Part 1 - Basic Provisions'!G89</f>
        <v>0</v>
      </c>
      <c r="AY2">
        <f>'Part 1 - Basic Provisions'!G105</f>
        <v>0</v>
      </c>
      <c r="AZ2">
        <f>'Part 1 - Basic Provisions'!G119</f>
        <v>0</v>
      </c>
      <c r="BA2">
        <f>'Part 1 - Basic Provisions'!G127</f>
        <v>0</v>
      </c>
      <c r="BB2">
        <f>'Part 1 - Basic Provisions'!G154</f>
        <v>9</v>
      </c>
      <c r="BC2">
        <f>'Part 1 - Basic Provisions'!G213</f>
        <v>0</v>
      </c>
      <c r="BD2">
        <f>'Part 2 - Specific Provisions'!G7</f>
        <v>0</v>
      </c>
      <c r="BE2">
        <f>'Part 2 - Specific Provisions'!G20</f>
        <v>0</v>
      </c>
      <c r="BF2">
        <f>'Part 2 - Specific Provisions'!G41</f>
        <v>0</v>
      </c>
      <c r="BG2">
        <f>'Part 3 - Design Process'!G7</f>
        <v>0</v>
      </c>
      <c r="BH2">
        <f>'Part 1 - Basic Provisions'!H7</f>
        <v>4</v>
      </c>
      <c r="BI2">
        <f>'Part 1 - Basic Provisions'!H49</f>
        <v>6</v>
      </c>
      <c r="BJ2">
        <f>'Part 1 - Basic Provisions'!H89</f>
        <v>0</v>
      </c>
      <c r="BK2">
        <f>'Part 1 - Basic Provisions'!H105</f>
        <v>0</v>
      </c>
      <c r="BL2">
        <f>'Part 1 - Basic Provisions'!H119</f>
        <v>0</v>
      </c>
      <c r="BM2">
        <f>'Part 1 - Basic Provisions'!H127</f>
        <v>0</v>
      </c>
      <c r="BN2">
        <f>'Part 1 - Basic Provisions'!H154</f>
        <v>4</v>
      </c>
      <c r="BO2">
        <f>'Part 1 - Basic Provisions'!H213</f>
        <v>0</v>
      </c>
      <c r="BP2">
        <f>'Part 2 - Specific Provisions'!H7</f>
        <v>0</v>
      </c>
      <c r="BQ2">
        <f>'Part 2 - Specific Provisions'!H20</f>
        <v>0</v>
      </c>
      <c r="BR2">
        <f>'Part 2 - Specific Provisions'!H41</f>
        <v>0</v>
      </c>
      <c r="BS2">
        <f>'Part 3 - Design Process'!H7</f>
        <v>0</v>
      </c>
      <c r="BT2" s="105">
        <f>Typologies!C5</f>
        <v>0</v>
      </c>
      <c r="BU2" s="105">
        <f>Typologies!C6</f>
        <v>0</v>
      </c>
      <c r="BV2" s="105">
        <f>Typologies!C7</f>
        <v>0</v>
      </c>
      <c r="BW2" s="105">
        <f>Typologies!C8</f>
        <v>0</v>
      </c>
      <c r="BX2" s="105">
        <f>Typologies!C9</f>
        <v>0</v>
      </c>
      <c r="BY2" s="105">
        <f>Typologies!C10</f>
        <v>0</v>
      </c>
      <c r="BZ2" s="105">
        <f>Typologies!C11</f>
        <v>0</v>
      </c>
      <c r="CA2" s="105">
        <f>Typologies!C12</f>
        <v>0</v>
      </c>
      <c r="CB2" s="105">
        <f>Typologies!C13</f>
        <v>0</v>
      </c>
      <c r="CC2" s="105">
        <f>Typologies!C14</f>
        <v>0</v>
      </c>
      <c r="CD2" s="105">
        <f>Typologies!C15</f>
        <v>0</v>
      </c>
      <c r="CE2" s="105">
        <f>Typologies!C16</f>
        <v>0</v>
      </c>
      <c r="CF2" s="106">
        <f>Typologies!C17</f>
        <v>0</v>
      </c>
      <c r="CG2" s="105">
        <f>Typologies!C19</f>
        <v>0</v>
      </c>
      <c r="CH2" s="105">
        <f>Typologies!C20</f>
        <v>0</v>
      </c>
      <c r="CI2" s="105">
        <f>Typologies!C21</f>
        <v>0</v>
      </c>
      <c r="CJ2" s="105">
        <f>Typologies!C22</f>
        <v>0</v>
      </c>
      <c r="CK2" s="105">
        <f>Typologies!C23</f>
        <v>0</v>
      </c>
      <c r="CL2" s="105">
        <f>Typologies!C24</f>
        <v>0</v>
      </c>
      <c r="CM2" s="105">
        <f>Typologies!C25</f>
        <v>0</v>
      </c>
      <c r="CN2" s="105">
        <f>Typologies!C26</f>
        <v>0</v>
      </c>
      <c r="CO2" s="105">
        <f>Typologies!C27</f>
        <v>0</v>
      </c>
      <c r="CP2">
        <f>'Part 1 - Basic Provisions'!C9</f>
        <v>1</v>
      </c>
      <c r="CQ2">
        <f>'Part 1 - Basic Provisions'!C12</f>
        <v>1</v>
      </c>
      <c r="CR2">
        <f>'Part 1 - Basic Provisions'!C18</f>
        <v>0</v>
      </c>
      <c r="CS2" t="str">
        <f>'Part 1 - Basic Provisions'!C23</f>
        <v>N</v>
      </c>
      <c r="CT2" t="str">
        <f>'Part 1 - Basic Provisions'!C24</f>
        <v>N</v>
      </c>
      <c r="CU2" t="str">
        <f>'Part 1 - Basic Provisions'!C27</f>
        <v>N</v>
      </c>
      <c r="CV2" t="str">
        <f>'Part 1 - Basic Provisions'!C28</f>
        <v>N</v>
      </c>
      <c r="CW2" t="str">
        <f>'Part 1 - Basic Provisions'!C29</f>
        <v>N</v>
      </c>
      <c r="CX2" t="str">
        <f>'Part 1 - Basic Provisions'!C30</f>
        <v>N</v>
      </c>
      <c r="CY2" t="str">
        <f>'Part 1 - Basic Provisions'!C31</f>
        <v>N</v>
      </c>
      <c r="CZ2">
        <f>'Part 1 - Basic Provisions'!C35</f>
        <v>0</v>
      </c>
      <c r="DA2">
        <f>'Part 1 - Basic Provisions'!C36</f>
        <v>0</v>
      </c>
      <c r="DB2">
        <f>'Part 1 - Basic Provisions'!C40</f>
        <v>0</v>
      </c>
      <c r="DC2">
        <f>'Part 1 - Basic Provisions'!C42</f>
        <v>0</v>
      </c>
      <c r="DD2">
        <f>'Part 1 - Basic Provisions'!C43</f>
        <v>0</v>
      </c>
      <c r="DE2">
        <f>'Part 1 - Basic Provisions'!C47</f>
        <v>0</v>
      </c>
      <c r="DF2" t="str">
        <f>'Part 1 - Basic Provisions'!C51</f>
        <v>N</v>
      </c>
      <c r="DG2" t="str">
        <f>'Part 1 - Basic Provisions'!C52</f>
        <v>N</v>
      </c>
      <c r="DH2" t="str">
        <f>'Part 1 - Basic Provisions'!C54</f>
        <v>Y</v>
      </c>
      <c r="DI2" t="str">
        <f>'Part 1 - Basic Provisions'!C55</f>
        <v>N</v>
      </c>
      <c r="DJ2" t="str">
        <f>'Part 1 - Basic Provisions'!C56</f>
        <v>N</v>
      </c>
      <c r="DK2" t="str">
        <f>'Part 1 - Basic Provisions'!C58</f>
        <v>Y</v>
      </c>
      <c r="DL2" t="str">
        <f>'Part 1 - Basic Provisions'!C59</f>
        <v>N</v>
      </c>
      <c r="DM2" t="str">
        <f>'Part 1 - Basic Provisions'!C60</f>
        <v>N</v>
      </c>
      <c r="DN2" t="str">
        <f>'Part 1 - Basic Provisions'!C61</f>
        <v>N</v>
      </c>
      <c r="DO2" t="str">
        <f>'Part 1 - Basic Provisions'!C63</f>
        <v>Y</v>
      </c>
      <c r="DP2" t="str">
        <f>'Part 1 - Basic Provisions'!C64</f>
        <v>N</v>
      </c>
      <c r="DQ2" t="str">
        <f>'Part 1 - Basic Provisions'!C65</f>
        <v>N</v>
      </c>
      <c r="DR2" t="str">
        <f>'Part 1 - Basic Provisions'!C66</f>
        <v>N</v>
      </c>
      <c r="DS2" t="str">
        <f>'Part 1 - Basic Provisions'!C67</f>
        <v>N</v>
      </c>
      <c r="DT2" t="str">
        <f>'Part 1 - Basic Provisions'!C69</f>
        <v>N</v>
      </c>
      <c r="DU2" t="str">
        <f>'Part 1 - Basic Provisions'!C70</f>
        <v>N</v>
      </c>
      <c r="DV2" t="str">
        <f>'Part 1 - Basic Provisions'!C71</f>
        <v>N</v>
      </c>
      <c r="DW2" t="str">
        <f>'Part 1 - Basic Provisions'!C72</f>
        <v>N</v>
      </c>
      <c r="DX2">
        <f>'Part 1 - Basic Provisions'!C74</f>
        <v>0</v>
      </c>
      <c r="DY2">
        <f>'Part 1 - Basic Provisions'!C75</f>
        <v>0</v>
      </c>
      <c r="DZ2">
        <f>'Part 1 - Basic Provisions'!C76</f>
        <v>0</v>
      </c>
      <c r="EA2" t="str">
        <f>'Part 1 - Basic Provisions'!C79</f>
        <v>N</v>
      </c>
      <c r="EB2" t="str">
        <f>'Part 1 - Basic Provisions'!C80</f>
        <v>N</v>
      </c>
      <c r="EC2" t="str">
        <f>'Part 1 - Basic Provisions'!C81</f>
        <v>N</v>
      </c>
      <c r="ED2" t="str">
        <f>'Part 1 - Basic Provisions'!C82</f>
        <v>N</v>
      </c>
      <c r="EE2" t="str">
        <f>'Part 1 - Basic Provisions'!C84</f>
        <v>N</v>
      </c>
      <c r="EF2" t="str">
        <f>'Part 1 - Basic Provisions'!C85</f>
        <v>N</v>
      </c>
      <c r="EG2" t="str">
        <f>'Part 1 - Basic Provisions'!C86</f>
        <v>N</v>
      </c>
      <c r="EH2" t="str">
        <f>'Part 1 - Basic Provisions'!C87</f>
        <v>N</v>
      </c>
      <c r="EI2" t="str">
        <f>'Part 1 - Basic Provisions'!C91</f>
        <v>N</v>
      </c>
      <c r="EJ2" t="str">
        <f>'Part 1 - Basic Provisions'!C92</f>
        <v>N</v>
      </c>
      <c r="EK2" t="str">
        <f>'Part 1 - Basic Provisions'!C93</f>
        <v>N</v>
      </c>
      <c r="EL2" t="str">
        <f>'Part 1 - Basic Provisions'!C94</f>
        <v>N</v>
      </c>
      <c r="EM2" t="str">
        <f>'Part 1 - Basic Provisions'!C97</f>
        <v>N</v>
      </c>
      <c r="EN2" t="str">
        <f>'Part 1 - Basic Provisions'!C98</f>
        <v>N</v>
      </c>
      <c r="EO2" t="str">
        <f>'Part 1 - Basic Provisions'!C99</f>
        <v>N</v>
      </c>
      <c r="EP2" t="str">
        <f>'Part 1 - Basic Provisions'!C101</f>
        <v>N</v>
      </c>
      <c r="EQ2">
        <f>'Part 1 - Basic Provisions'!C102</f>
        <v>0</v>
      </c>
      <c r="ER2" t="str">
        <f>'Part 1 - Basic Provisions'!C103</f>
        <v>N</v>
      </c>
      <c r="ES2">
        <f>'Part 1 - Basic Provisions'!C108</f>
        <v>0</v>
      </c>
      <c r="ET2">
        <f>'Part 1 - Basic Provisions'!C109</f>
        <v>0</v>
      </c>
      <c r="EU2">
        <f>'Part 1 - Basic Provisions'!C110</f>
        <v>0</v>
      </c>
      <c r="EV2" t="str">
        <f>'Part 1 - Basic Provisions'!C113</f>
        <v>N.A.</v>
      </c>
      <c r="EW2" s="104">
        <f>'Part 1 - Basic Provisions'!C114</f>
        <v>0</v>
      </c>
      <c r="EX2" t="str">
        <f>'Part 1 - Basic Provisions'!C121</f>
        <v>N</v>
      </c>
      <c r="EY2" t="str">
        <f>'Part 1 - Basic Provisions'!C122</f>
        <v>N</v>
      </c>
      <c r="EZ2" t="str">
        <f>'Part 1 - Basic Provisions'!C123</f>
        <v>N</v>
      </c>
      <c r="FA2" t="str">
        <f>'Part 1 - Basic Provisions'!C124</f>
        <v>N</v>
      </c>
      <c r="FB2" t="str">
        <f>'Part 1 - Basic Provisions'!C125</f>
        <v>N</v>
      </c>
      <c r="FC2">
        <f>'Part 1 - Basic Provisions'!C129</f>
        <v>0</v>
      </c>
      <c r="FD2">
        <f>'Part 1 - Basic Provisions'!C130</f>
        <v>0</v>
      </c>
      <c r="FE2">
        <f>'Part 1 - Basic Provisions'!C134</f>
        <v>0</v>
      </c>
      <c r="FF2">
        <f>'Part 1 - Basic Provisions'!C135</f>
        <v>0</v>
      </c>
      <c r="FG2">
        <f>'Part 1 - Basic Provisions'!C136</f>
        <v>0</v>
      </c>
      <c r="FH2" t="str">
        <f>'Part 1 - Basic Provisions'!C139</f>
        <v>N</v>
      </c>
      <c r="FI2">
        <f>'Part 1 - Basic Provisions'!C141</f>
        <v>0</v>
      </c>
      <c r="FJ2">
        <f>'Part 1 - Basic Provisions'!C142</f>
        <v>0</v>
      </c>
      <c r="FK2">
        <f>'Part 1 - Basic Provisions'!C147</f>
        <v>0</v>
      </c>
      <c r="FL2">
        <f>'Part 1 - Basic Provisions'!C148</f>
        <v>0</v>
      </c>
      <c r="FM2" t="str">
        <f>'Part 1 - Basic Provisions'!C152</f>
        <v>N</v>
      </c>
      <c r="FN2">
        <f>'Part 1 - Basic Provisions'!C157</f>
        <v>0</v>
      </c>
      <c r="FO2">
        <f>'Part 1 - Basic Provisions'!C158</f>
        <v>0</v>
      </c>
      <c r="FP2">
        <f>'Part 1 - Basic Provisions'!C159</f>
        <v>0</v>
      </c>
      <c r="FQ2">
        <f>'Part 1 - Basic Provisions'!C163</f>
        <v>0</v>
      </c>
      <c r="FR2">
        <f>'Part 1 - Basic Provisions'!C164</f>
        <v>0</v>
      </c>
      <c r="FS2">
        <f>'Part 1 - Basic Provisions'!C165</f>
        <v>0</v>
      </c>
      <c r="FT2" t="str">
        <f>'Part 1 - Basic Provisions'!C168</f>
        <v>N</v>
      </c>
      <c r="FU2" t="str">
        <f>'Part 1 - Basic Provisions'!C169</f>
        <v>N</v>
      </c>
      <c r="FV2">
        <f>'Part 1 - Basic Provisions'!C172</f>
        <v>0</v>
      </c>
      <c r="FW2">
        <f>'Part 1 - Basic Provisions'!C173</f>
        <v>0</v>
      </c>
      <c r="FX2">
        <f>'Part 1 - Basic Provisions'!C174</f>
        <v>0</v>
      </c>
      <c r="FY2" t="str">
        <f>'Part 1 - Basic Provisions'!C177</f>
        <v>N</v>
      </c>
      <c r="FZ2" t="str">
        <f>'Part 1 - Basic Provisions'!C178</f>
        <v>N</v>
      </c>
      <c r="GA2">
        <f>'Part 1 - Basic Provisions'!C182</f>
        <v>0</v>
      </c>
      <c r="GB2">
        <f>'Part 1 - Basic Provisions'!C183</f>
        <v>0</v>
      </c>
      <c r="GC2">
        <f>'Part 1 - Basic Provisions'!C187</f>
        <v>0</v>
      </c>
      <c r="GD2">
        <f>'Part 1 - Basic Provisions'!C188</f>
        <v>0</v>
      </c>
      <c r="GE2">
        <f>'Part 1 - Basic Provisions'!C192</f>
        <v>0</v>
      </c>
      <c r="GF2">
        <f>'Part 1 - Basic Provisions'!C193</f>
        <v>0</v>
      </c>
      <c r="GG2" t="str">
        <f>'Part 1 - Basic Provisions'!C196</f>
        <v>N</v>
      </c>
      <c r="GH2">
        <f>'Part 1 - Basic Provisions'!C198</f>
        <v>0</v>
      </c>
      <c r="GI2">
        <f>'Part 1 - Basic Provisions'!C199</f>
        <v>0</v>
      </c>
      <c r="GJ2">
        <f>'Part 1 - Basic Provisions'!C203</f>
        <v>0</v>
      </c>
      <c r="GK2">
        <f>'Part 1 - Basic Provisions'!C204</f>
        <v>0</v>
      </c>
      <c r="GL2">
        <f>'Part 1 - Basic Provisions'!C208</f>
        <v>0</v>
      </c>
      <c r="GM2">
        <f>'Part 1 - Basic Provisions'!C209</f>
        <v>0</v>
      </c>
      <c r="GN2">
        <f>'Part 1 - Basic Provisions'!C215</f>
        <v>0</v>
      </c>
      <c r="GO2" t="str">
        <f>'Part 1 - Basic Provisions'!C217</f>
        <v>N.A.</v>
      </c>
      <c r="GP2">
        <f>'Part 1 - Basic Provisions'!C218</f>
        <v>0</v>
      </c>
      <c r="GQ2">
        <f>'Part 1 - Basic Provisions'!C219</f>
        <v>0</v>
      </c>
      <c r="GR2" t="str">
        <f>'Part 1 - Basic Provisions'!C224</f>
        <v>N.A.</v>
      </c>
      <c r="GS2">
        <f>'Part 1 - Basic Provisions'!C225</f>
        <v>0</v>
      </c>
      <c r="GT2">
        <f>'Part 1 - Basic Provisions'!C226</f>
        <v>0</v>
      </c>
      <c r="GU2" t="str">
        <f>'Part 2 - Specific Provisions'!C8</f>
        <v>N</v>
      </c>
      <c r="GV2" t="str">
        <f>'Part 2 - Specific Provisions'!C9</f>
        <v>N</v>
      </c>
      <c r="GW2" t="str">
        <f>'Part 2 - Specific Provisions'!C10</f>
        <v>N</v>
      </c>
      <c r="GX2" t="str">
        <f>'Part 2 - Specific Provisions'!C11</f>
        <v>N</v>
      </c>
      <c r="GY2" t="str">
        <f>'Part 2 - Specific Provisions'!C12</f>
        <v>N</v>
      </c>
      <c r="GZ2" t="str">
        <f>'Part 2 - Specific Provisions'!C13</f>
        <v>N</v>
      </c>
      <c r="HA2" t="str">
        <f>'Part 2 - Specific Provisions'!C14</f>
        <v>N</v>
      </c>
      <c r="HB2" t="str">
        <f>'Part 2 - Specific Provisions'!C15</f>
        <v>N</v>
      </c>
      <c r="HC2" t="str">
        <f>'Part 2 - Specific Provisions'!C16</f>
        <v>N</v>
      </c>
      <c r="HD2" t="str">
        <f>'Part 2 - Specific Provisions'!C17</f>
        <v>N</v>
      </c>
      <c r="HE2" t="str">
        <f>'Part 2 - Specific Provisions'!C18</f>
        <v>N</v>
      </c>
      <c r="HF2" t="str">
        <f>'Part 2 - Specific Provisions'!C23</f>
        <v>N</v>
      </c>
      <c r="HG2" t="str">
        <f>'Part 2 - Specific Provisions'!C25</f>
        <v>N</v>
      </c>
      <c r="HH2" t="str">
        <f>'Part 2 - Specific Provisions'!C26</f>
        <v>N</v>
      </c>
      <c r="HI2" t="str">
        <f>'Part 2 - Specific Provisions'!C27</f>
        <v>N</v>
      </c>
      <c r="HJ2" t="str">
        <f>'Part 2 - Specific Provisions'!C28</f>
        <v>N</v>
      </c>
      <c r="HK2" t="str">
        <f>'Part 2 - Specific Provisions'!C30</f>
        <v>N</v>
      </c>
      <c r="HL2" t="str">
        <f>'Part 2 - Specific Provisions'!C31</f>
        <v>N</v>
      </c>
      <c r="HM2" t="str">
        <f>'Part 2 - Specific Provisions'!C32</f>
        <v>N</v>
      </c>
      <c r="HN2" t="str">
        <f>'Part 2 - Specific Provisions'!C33</f>
        <v>N</v>
      </c>
      <c r="HO2" t="str">
        <f>'Part 2 - Specific Provisions'!C34</f>
        <v>N</v>
      </c>
      <c r="HP2" t="str">
        <f>'Part 2 - Specific Provisions'!C36</f>
        <v>N</v>
      </c>
      <c r="HQ2" t="str">
        <f>'Part 2 - Specific Provisions'!C37</f>
        <v>N</v>
      </c>
      <c r="HR2" t="str">
        <f>'Part 2 - Specific Provisions'!C38</f>
        <v>N</v>
      </c>
      <c r="HS2" t="str">
        <f>'Part 2 - Specific Provisions'!C39</f>
        <v>N</v>
      </c>
      <c r="HT2" t="str">
        <f>'Part 2 - Specific Provisions'!C44</f>
        <v>N</v>
      </c>
      <c r="HU2" t="str">
        <f>'Part 2 - Specific Provisions'!C45</f>
        <v>N</v>
      </c>
      <c r="HV2" t="str">
        <f>'Part 2 - Specific Provisions'!C46</f>
        <v>N</v>
      </c>
      <c r="HW2" t="str">
        <f>'Part 2 - Specific Provisions'!C47</f>
        <v>N</v>
      </c>
      <c r="HX2" t="str">
        <f>'Part 2 - Specific Provisions'!C48</f>
        <v>N</v>
      </c>
      <c r="HY2" t="str">
        <f>'Part 2 - Specific Provisions'!C49</f>
        <v>N</v>
      </c>
      <c r="HZ2">
        <f>'Part 2 - Specific Provisions'!C51</f>
        <v>0</v>
      </c>
      <c r="IA2" t="str">
        <f>'Part 2 - Specific Provisions'!C54</f>
        <v>N</v>
      </c>
      <c r="IB2" t="str">
        <f>'Part 3 - Design Process'!C10</f>
        <v>N</v>
      </c>
      <c r="IC2">
        <f>'Part 3 - Design Process'!C11</f>
        <v>0</v>
      </c>
      <c r="ID2" t="str">
        <f>'Part 3 - Design Process'!C16</f>
        <v>N</v>
      </c>
      <c r="IE2">
        <f>'Part 3 - Design Process'!C17</f>
        <v>0</v>
      </c>
      <c r="IF2" t="str">
        <f>'Part 3 - Design Process'!C19</f>
        <v>N</v>
      </c>
      <c r="IG2">
        <f>'Part 3 - Design Process'!C20</f>
        <v>0</v>
      </c>
      <c r="IH2">
        <f>'Part 3 - Design Process'!C21</f>
        <v>0</v>
      </c>
      <c r="II2">
        <f>'Part 3 - Design Process'!B24</f>
        <v>0</v>
      </c>
      <c r="IJ2">
        <f>'Part 3 - Design Process'!B25</f>
        <v>0</v>
      </c>
      <c r="IK2">
        <f>'Part 3 - Design Process'!B26</f>
        <v>0</v>
      </c>
      <c r="IL2">
        <f>'Part 3 - Design Process'!B27</f>
        <v>0</v>
      </c>
      <c r="IM2">
        <f>'Part 3 - Design Process'!B28</f>
        <v>0</v>
      </c>
      <c r="IN2">
        <f>'Part 1 - Basic Provisions'!C11</f>
        <v>1</v>
      </c>
      <c r="IO2">
        <f>'Part 1 - Basic Provisions'!C17</f>
        <v>0</v>
      </c>
      <c r="IP2" t="str">
        <f>'Part 2 - Specific Provisions'!C24</f>
        <v>N</v>
      </c>
      <c r="IQ2">
        <f>'Part 3 - Design Process'!C12</f>
        <v>0</v>
      </c>
      <c r="IR2" t="str">
        <f>'Part 3 - Design Process'!C13</f>
        <v>N</v>
      </c>
      <c r="IS2">
        <f>'Part 3 - Design Process'!C14</f>
        <v>0</v>
      </c>
      <c r="IT2">
        <f>'Part 3 - Design Process'!C15</f>
        <v>0</v>
      </c>
      <c r="IU2">
        <f>'Part 3 - Design Process'!C18</f>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Project Info</vt:lpstr>
      <vt:lpstr>Typologies</vt:lpstr>
      <vt:lpstr>Part 1 - Basic Provisions</vt:lpstr>
      <vt:lpstr>Part 2 - Specific Provisions</vt:lpstr>
      <vt:lpstr>Part 3 - Design Process</vt:lpstr>
      <vt:lpstr>References</vt:lpstr>
      <vt:lpstr>Transfer</vt:lpstr>
      <vt:lpstr>CODEONE</vt:lpstr>
      <vt:lpstr>CODEZERO</vt:lpstr>
      <vt:lpstr>ELDERHALF</vt:lpstr>
      <vt:lpstr>ELDERONE</vt:lpstr>
      <vt:lpstr>ELDERZERO</vt:lpstr>
      <vt:lpstr>FAMHALF</vt:lpstr>
      <vt:lpstr>FAMONE</vt:lpstr>
      <vt:lpstr>FAMZERO</vt:lpstr>
      <vt:lpstr>MUMHALF</vt:lpstr>
      <vt:lpstr>MUMONE</vt:lpstr>
      <vt:lpstr>MUMZERO</vt:lpstr>
      <vt:lpstr>'Part 1 - Basic Provisions'!Print_Area</vt:lpstr>
      <vt:lpstr>'Part 2 - Specific Provisions'!Print_Area</vt:lpstr>
      <vt:lpstr>'Part 3 - Design Process'!Print_Area</vt:lpstr>
      <vt:lpstr>Typologies!Print_Area</vt:lpstr>
      <vt:lpstr>'Part 1 - Basic Provisions'!Print_Titles</vt:lpstr>
      <vt:lpstr>'Part 2 - Specific Provisions'!Print_Titles</vt:lpstr>
      <vt:lpstr>'Part 3 - Design Process'!Print_Titles</vt:lpstr>
      <vt:lpstr>PWDHALF</vt:lpstr>
      <vt:lpstr>PWDONE</vt:lpstr>
      <vt:lpstr>PWDZERO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Jie Hao LEE (BCA)</dc:creator>
  <cp:keywords/>
  <dc:description/>
  <cp:lastModifiedBy>Jie Hao LEE (BCA)</cp:lastModifiedBy>
  <cp:revision/>
  <dcterms:created xsi:type="dcterms:W3CDTF">2021-11-11T00:05:13Z</dcterms:created>
  <dcterms:modified xsi:type="dcterms:W3CDTF">2026-02-27T06:15:04Z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2025-10-30T08:57:10Z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849618a7-e84e-44f2-ab17-aed5e7b57f79</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ies>
</file>