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HCP_BACKUP\Yock Keng\Documents\Green Mark\Green Mark for Labs\Lab Calculator\"/>
    </mc:Choice>
  </mc:AlternateContent>
  <xr:revisionPtr revIDLastSave="0" documentId="13_ncr:1_{ED564A17-6C78-4BF4-8138-0A98E5F606E4}" xr6:coauthVersionLast="41" xr6:coauthVersionMax="41" xr10:uidLastSave="{00000000-0000-0000-0000-000000000000}"/>
  <bookViews>
    <workbookView xWindow="-120" yWindow="-120" windowWidth="20730" windowHeight="11160" activeTab="2" xr2:uid="{00000000-000D-0000-FFFF-FFFF00000000}"/>
  </bookViews>
  <sheets>
    <sheet name="Revision Tracking" sheetId="6" r:id="rId1"/>
    <sheet name="Cover Page" sheetId="4" r:id="rId2"/>
    <sheet name="Scoring" sheetId="5" r:id="rId3"/>
    <sheet name="Lab EEI" sheetId="10" r:id="rId4"/>
    <sheet name="Additional Info" sheetId="9" r:id="rId5"/>
  </sheets>
  <externalReferences>
    <externalReference r:id="rId6"/>
    <externalReference r:id="rId7"/>
  </externalReferences>
  <definedNames>
    <definedName name="CoolingLoad">'[1]Building Data schedule'!$G$36:$H$46</definedName>
    <definedName name="_xlnm.Print_Area" localSheetId="1">'Cover Page'!$R$1:$Z$57</definedName>
    <definedName name="_xlnm.Print_Area" localSheetId="2">Scoring!$Y$1:$AC$37,Scoring!$B$1:$F$72</definedName>
    <definedName name="_xlnm.Print_Titles" localSheetId="2">Scoring!$1:$1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5" l="1"/>
  <c r="Z56" i="4" l="1"/>
  <c r="E5" i="9" l="1"/>
  <c r="J19" i="4" l="1"/>
  <c r="J18" i="4"/>
  <c r="C28" i="10" l="1"/>
  <c r="C18" i="10"/>
  <c r="C27" i="10" s="1"/>
  <c r="C29" i="10" s="1"/>
  <c r="E4" i="9" l="1"/>
  <c r="C32" i="10"/>
  <c r="C33" i="10"/>
  <c r="E7" i="9" s="1"/>
  <c r="C19" i="10"/>
  <c r="E48" i="5" l="1"/>
  <c r="E6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B31" i="9"/>
  <c r="A31" i="9"/>
  <c r="C31" i="9" l="1"/>
  <c r="B25" i="6"/>
  <c r="D25" i="6" s="1"/>
  <c r="E30" i="5" l="1"/>
  <c r="F56" i="5" l="1"/>
  <c r="F53" i="5"/>
  <c r="F17" i="5"/>
  <c r="E37" i="5"/>
  <c r="F24" i="5"/>
  <c r="F4" i="5"/>
  <c r="F5" i="5"/>
  <c r="F6" i="5"/>
  <c r="F8" i="5"/>
  <c r="F9" i="5"/>
  <c r="F10" i="5"/>
  <c r="F11" i="5"/>
  <c r="E12" i="5"/>
  <c r="F18" i="5"/>
  <c r="F19" i="5"/>
  <c r="D9" i="5"/>
  <c r="D10" i="5"/>
  <c r="D5" i="5"/>
  <c r="D6" i="5"/>
  <c r="D19" i="5"/>
  <c r="F21" i="5"/>
  <c r="F22" i="5"/>
  <c r="F23" i="5"/>
  <c r="F25" i="5"/>
  <c r="E29" i="5"/>
  <c r="F29" i="5"/>
  <c r="F31" i="5"/>
  <c r="F32" i="5"/>
  <c r="F33" i="5"/>
  <c r="F34" i="5"/>
  <c r="F35" i="5"/>
  <c r="F36" i="5"/>
  <c r="J28" i="5" l="1"/>
  <c r="J22" i="5" s="1"/>
  <c r="J26" i="5"/>
  <c r="J29" i="5"/>
  <c r="J27" i="5"/>
  <c r="E28" i="5" s="1"/>
  <c r="D28" i="5" s="1"/>
  <c r="K27" i="5"/>
  <c r="D22" i="5"/>
  <c r="D23" i="5"/>
  <c r="F28" i="5" l="1"/>
  <c r="D29" i="5"/>
  <c r="D50" i="5"/>
  <c r="D49" i="5"/>
  <c r="F49" i="5"/>
  <c r="F39" i="5"/>
  <c r="F37" i="5" l="1"/>
  <c r="D62" i="5" l="1"/>
  <c r="AC23" i="5"/>
  <c r="AC22" i="5"/>
  <c r="AC21" i="5"/>
  <c r="AC20" i="5"/>
  <c r="F41" i="5" l="1"/>
  <c r="O40" i="5"/>
  <c r="O39" i="5"/>
  <c r="F40" i="5" s="1"/>
  <c r="H41" i="5" s="1"/>
  <c r="Z55" i="4" l="1"/>
  <c r="Z38" i="4"/>
  <c r="Z29" i="4"/>
  <c r="Z25" i="4"/>
  <c r="Z18" i="4"/>
  <c r="Z11" i="4"/>
  <c r="AA23" i="5"/>
  <c r="AA22" i="5"/>
  <c r="AA21" i="5"/>
  <c r="AA20" i="5"/>
  <c r="AA26" i="5"/>
  <c r="AA33" i="5"/>
  <c r="AA31" i="5"/>
  <c r="AA29" i="5"/>
  <c r="AA28" i="5"/>
  <c r="AC33" i="5"/>
  <c r="AC32" i="5"/>
  <c r="AC31" i="5"/>
  <c r="AC29" i="5"/>
  <c r="AC28" i="5"/>
  <c r="AC27" i="5"/>
  <c r="AC26" i="5"/>
  <c r="AC25" i="5"/>
  <c r="AC19" i="5"/>
  <c r="Z49" i="4" s="1"/>
  <c r="AC18" i="5"/>
  <c r="Z48" i="4" s="1"/>
  <c r="AA17" i="5"/>
  <c r="AA16" i="5"/>
  <c r="AA15" i="5"/>
  <c r="AA14" i="5"/>
  <c r="AA11" i="5"/>
  <c r="AA10" i="5"/>
  <c r="AA9" i="5"/>
  <c r="AA7" i="5"/>
  <c r="AA6" i="5"/>
  <c r="AA5" i="5"/>
  <c r="D72" i="5"/>
  <c r="D71" i="5"/>
  <c r="D70" i="5"/>
  <c r="D69" i="5"/>
  <c r="AC14" i="5"/>
  <c r="AC15" i="5"/>
  <c r="AC16" i="5"/>
  <c r="AC17" i="5"/>
  <c r="AC13" i="5"/>
  <c r="AC11" i="5"/>
  <c r="AC9" i="5"/>
  <c r="AC10" i="5"/>
  <c r="AC8" i="5"/>
  <c r="AC5" i="5"/>
  <c r="AC6" i="5"/>
  <c r="AC7" i="5"/>
  <c r="AC4" i="5"/>
  <c r="F71" i="5"/>
  <c r="F69" i="5"/>
  <c r="F70" i="5"/>
  <c r="F72" i="5"/>
  <c r="F68" i="5"/>
  <c r="D66" i="5"/>
  <c r="F66" i="5"/>
  <c r="F65" i="5"/>
  <c r="F60" i="5"/>
  <c r="Z37" i="4" s="1"/>
  <c r="O58" i="5"/>
  <c r="F58" i="5"/>
  <c r="Z35" i="4" s="1"/>
  <c r="F57" i="5"/>
  <c r="Z34" i="4" s="1"/>
  <c r="Z33" i="4"/>
  <c r="F55" i="5"/>
  <c r="F54" i="5"/>
  <c r="D55" i="5"/>
  <c r="D54" i="5"/>
  <c r="F47" i="5"/>
  <c r="F46" i="5"/>
  <c r="D47" i="5"/>
  <c r="D45" i="5"/>
  <c r="D44" i="5"/>
  <c r="D43" i="5"/>
  <c r="D41" i="5"/>
  <c r="D40" i="5"/>
  <c r="F43" i="5"/>
  <c r="F44" i="5"/>
  <c r="F45" i="5"/>
  <c r="N41" i="5"/>
  <c r="O42" i="5"/>
  <c r="N42" i="5"/>
  <c r="R41" i="5"/>
  <c r="O41" i="5"/>
  <c r="F38" i="5"/>
  <c r="Z24" i="4" s="1"/>
  <c r="Z21" i="4"/>
  <c r="D34" i="5"/>
  <c r="D35" i="5"/>
  <c r="D36" i="5"/>
  <c r="D33" i="5"/>
  <c r="D32" i="5"/>
  <c r="Z51" i="4" l="1"/>
  <c r="Z39" i="4"/>
  <c r="Z36" i="4" s="1"/>
  <c r="F42" i="5"/>
  <c r="Z26" i="4" s="1"/>
  <c r="Z53" i="4"/>
  <c r="Z45" i="4"/>
  <c r="Z47" i="4"/>
  <c r="Z46" i="4" s="1"/>
  <c r="Z52" i="4"/>
  <c r="Z28" i="4"/>
  <c r="Z44" i="4"/>
  <c r="Z41" i="4"/>
  <c r="Z40" i="4" s="1"/>
  <c r="Z32" i="4"/>
  <c r="Z31" i="4" s="1"/>
  <c r="Z54" i="4"/>
  <c r="O16" i="4" s="1"/>
  <c r="Z20" i="4"/>
  <c r="Z17" i="4" s="1"/>
  <c r="D25" i="5"/>
  <c r="D18" i="5"/>
  <c r="P12" i="5"/>
  <c r="P11" i="5"/>
  <c r="Z10" i="4" s="1"/>
  <c r="Z43" i="4" l="1"/>
  <c r="Z23" i="4"/>
  <c r="Z16" i="4" s="1"/>
  <c r="O19" i="4" s="1"/>
  <c r="Z12" i="4"/>
  <c r="Z50" i="4"/>
  <c r="Z15" i="4"/>
  <c r="Z30" i="4"/>
  <c r="O18" i="4" s="1"/>
  <c r="Z14" i="4"/>
  <c r="Z9" i="4"/>
  <c r="Z7" i="4"/>
  <c r="Z6" i="4" s="1"/>
  <c r="C26" i="4"/>
  <c r="D12" i="4"/>
  <c r="Z42" i="4" l="1"/>
  <c r="O17" i="4" s="1"/>
  <c r="Z8" i="4"/>
  <c r="Z13" i="4"/>
  <c r="Z5" i="4" l="1"/>
  <c r="Z57" i="4" s="1"/>
  <c r="O20" i="4" l="1"/>
</calcChain>
</file>

<file path=xl/sharedStrings.xml><?xml version="1.0" encoding="utf-8"?>
<sst xmlns="http://schemas.openxmlformats.org/spreadsheetml/2006/main" count="579" uniqueCount="431">
  <si>
    <t>To</t>
  </si>
  <si>
    <t>:</t>
  </si>
  <si>
    <t>Thr’</t>
  </si>
  <si>
    <t>GD/ES</t>
  </si>
  <si>
    <t>D/GMD(ND)</t>
  </si>
  <si>
    <t>From</t>
  </si>
  <si>
    <t>SM/GMD(ND) Leow Yock Keng  (Lead Assessor)</t>
  </si>
  <si>
    <t>BCA GREEN MARK CERTIFICATION SCHEME</t>
  </si>
  <si>
    <t>Project Name</t>
  </si>
  <si>
    <t>Reference No</t>
  </si>
  <si>
    <t>Address</t>
  </si>
  <si>
    <t>Standards</t>
  </si>
  <si>
    <t>Type of Laboratories</t>
  </si>
  <si>
    <t>Attached  Report(s)</t>
  </si>
  <si>
    <t>Type of Audit</t>
  </si>
  <si>
    <t>Initial Assessment</t>
  </si>
  <si>
    <t>Recertification</t>
  </si>
  <si>
    <t>New</t>
  </si>
  <si>
    <t>Existing</t>
  </si>
  <si>
    <t>Biological</t>
  </si>
  <si>
    <t>Chemical</t>
  </si>
  <si>
    <t>Physical</t>
  </si>
  <si>
    <t>Please select</t>
  </si>
  <si>
    <t>BSL1</t>
  </si>
  <si>
    <t>BSL2</t>
  </si>
  <si>
    <t>BSL3</t>
  </si>
  <si>
    <t>BSL4</t>
  </si>
  <si>
    <t>CSDL0</t>
  </si>
  <si>
    <t>CSDL1</t>
  </si>
  <si>
    <t>CSDL2</t>
  </si>
  <si>
    <t>CSDL3</t>
  </si>
  <si>
    <t>CSDL4</t>
  </si>
  <si>
    <t>NA</t>
  </si>
  <si>
    <t>Sustainable Design</t>
  </si>
  <si>
    <t>Laboratory Energy Performance</t>
  </si>
  <si>
    <t>Resource Stewardship</t>
  </si>
  <si>
    <t>Smart and Healthy Laboratory</t>
  </si>
  <si>
    <t>Advanced Green Effort</t>
  </si>
  <si>
    <t>Point scored</t>
  </si>
  <si>
    <t>Section</t>
  </si>
  <si>
    <t>The assessment for the abovementioned project has been conducted and the project is:</t>
  </si>
  <si>
    <t>þ</t>
  </si>
  <si>
    <t>¨</t>
  </si>
  <si>
    <t>Platinum</t>
  </si>
  <si>
    <t>Gold</t>
  </si>
  <si>
    <t xml:space="preserve">Not Recommended for Award </t>
  </si>
  <si>
    <t>1.</t>
  </si>
  <si>
    <t>2.</t>
  </si>
  <si>
    <t>Key issues / concerns</t>
  </si>
  <si>
    <t>Panel's Comments</t>
  </si>
  <si>
    <t>Additional information required</t>
  </si>
  <si>
    <t>Submitted and Checked by:</t>
  </si>
  <si>
    <t>Leow Yock Keng (Lead Assessor)</t>
  </si>
  <si>
    <t>SM, Green Mark Department (New Development)</t>
  </si>
  <si>
    <t>Signature / Date</t>
  </si>
  <si>
    <t>Checked by:</t>
  </si>
  <si>
    <t>Signature/Date</t>
  </si>
  <si>
    <t xml:space="preserve">Group Director, ESG </t>
  </si>
  <si>
    <t>Green Mark report, Project Factsheet, Project Mock Certificate</t>
  </si>
  <si>
    <t>GREEN MARK FOR LABORATORIES: 2017</t>
  </si>
  <si>
    <t>1. SUSTAINABLE DESIGN</t>
  </si>
  <si>
    <t>1.1a</t>
  </si>
  <si>
    <t>Organisation Governance</t>
  </si>
  <si>
    <t>Category</t>
  </si>
  <si>
    <t>1. Sustainable Design</t>
  </si>
  <si>
    <t>Point Allocation</t>
  </si>
  <si>
    <t>Point Scored</t>
  </si>
  <si>
    <t>Leadership</t>
  </si>
  <si>
    <t>Design and Operation</t>
  </si>
  <si>
    <t>1.2a</t>
  </si>
  <si>
    <t>Sustainable Laboratory Design</t>
  </si>
  <si>
    <t>Sustainable Laobratory Operation</t>
  </si>
  <si>
    <t>1.2b</t>
  </si>
  <si>
    <t>1.2c</t>
  </si>
  <si>
    <t>1.2d</t>
  </si>
  <si>
    <t>User Engagement</t>
  </si>
  <si>
    <t>Environmental Credential of Project Team</t>
  </si>
  <si>
    <t>Urban Harmony</t>
  </si>
  <si>
    <t>1.3a</t>
  </si>
  <si>
    <t>1.3b</t>
  </si>
  <si>
    <t>Sustainable Commuting</t>
  </si>
  <si>
    <t>Greenery Provision</t>
  </si>
  <si>
    <t>2. Laboratory Energy Performance</t>
  </si>
  <si>
    <t>Energy Efficiency</t>
  </si>
  <si>
    <t>35 (+5)</t>
  </si>
  <si>
    <t>2.1a</t>
  </si>
  <si>
    <t>Air Conditioning System Efficiency</t>
  </si>
  <si>
    <t>~ 2 additional credits for Physical Laboratories</t>
  </si>
  <si>
    <t>(+ 2)</t>
  </si>
  <si>
    <t>20 (+4)</t>
  </si>
  <si>
    <t>Lighting Efficiency</t>
  </si>
  <si>
    <t>~ 1 additional credits for Physical Laboratories</t>
  </si>
  <si>
    <t>2.1b</t>
  </si>
  <si>
    <t>2.1c</t>
  </si>
  <si>
    <t>Energy Effectiveness</t>
  </si>
  <si>
    <t>Factilites Energy</t>
  </si>
  <si>
    <t>Plug Load Management</t>
  </si>
  <si>
    <t>2.2a</t>
  </si>
  <si>
    <t>2.2b</t>
  </si>
  <si>
    <t>2.2c</t>
  </si>
  <si>
    <t>2.2d</t>
  </si>
  <si>
    <t>2.2e</t>
  </si>
  <si>
    <t>Equipment Maintenance</t>
  </si>
  <si>
    <t>Energy Efficient Practices, Design and Features</t>
  </si>
  <si>
    <t>(+1)</t>
  </si>
  <si>
    <t>15 (+1)</t>
  </si>
  <si>
    <t>3. Resource Stewardship</t>
  </si>
  <si>
    <t>Water</t>
  </si>
  <si>
    <t>3.1a</t>
  </si>
  <si>
    <t>3.1b</t>
  </si>
  <si>
    <t>3.1c</t>
  </si>
  <si>
    <t>3.1d</t>
  </si>
  <si>
    <t>Water Efficient Measures</t>
  </si>
  <si>
    <t>Water Usage Monitoring</t>
  </si>
  <si>
    <t>Water Efficiency Improvement Plans</t>
  </si>
  <si>
    <t>Alternative Water Soucres</t>
  </si>
  <si>
    <t>Materials</t>
  </si>
  <si>
    <t>Sustainable Construction</t>
  </si>
  <si>
    <t>Sustainable Products</t>
  </si>
  <si>
    <t>Material Management</t>
  </si>
  <si>
    <t>Waste</t>
  </si>
  <si>
    <t>Operatiopnal Waste Management</t>
  </si>
  <si>
    <t>Indoor Air Quality</t>
  </si>
  <si>
    <t>4.1a</t>
  </si>
  <si>
    <t>IAQ Performance</t>
  </si>
  <si>
    <t>Contaminants Management</t>
  </si>
  <si>
    <t>4.1b</t>
  </si>
  <si>
    <t>Spatial Quality</t>
  </si>
  <si>
    <t>Lighting</t>
  </si>
  <si>
    <t>Acoutics</t>
  </si>
  <si>
    <t>4.2a</t>
  </si>
  <si>
    <t>4.2b</t>
  </si>
  <si>
    <t>4.2c</t>
  </si>
  <si>
    <t>Smart Building Operations</t>
  </si>
  <si>
    <t>Energy Monitoring</t>
  </si>
  <si>
    <t>Demand Control</t>
  </si>
  <si>
    <t>Integration and Analytics</t>
  </si>
  <si>
    <t>4.3a</t>
  </si>
  <si>
    <t>4.3b</t>
  </si>
  <si>
    <t>4.3c</t>
  </si>
  <si>
    <t>Implementation of good practices</t>
  </si>
  <si>
    <t>Innovative Green Features</t>
  </si>
  <si>
    <t>All design must not compromise safety</t>
  </si>
  <si>
    <t>5. Advanced Green Efforts</t>
  </si>
  <si>
    <t>Senior management committed to environmental policy</t>
  </si>
  <si>
    <t>Points</t>
  </si>
  <si>
    <t>Sustainable Laboratory Operation</t>
  </si>
  <si>
    <t>Item</t>
  </si>
  <si>
    <t>Assessment Evidence/ Comments</t>
  </si>
  <si>
    <t>Wellbeing and Safety</t>
  </si>
  <si>
    <t>Green guide for laboratory occupants</t>
  </si>
  <si>
    <t xml:space="preserve">Lab users are informed about the energy usage </t>
  </si>
  <si>
    <t>·</t>
  </si>
  <si>
    <t>Integrative design process</t>
  </si>
  <si>
    <t>Establish key appointment holders for laboratories operation with organisation chart made known to lab users</t>
  </si>
  <si>
    <t>Regular update to senior management</t>
  </si>
  <si>
    <t>Performs design/audit and ROI evaluation prior to renovation</t>
  </si>
  <si>
    <t>Permanent committee to evaluate laboratory for continual improvement</t>
  </si>
  <si>
    <t>Not scoring</t>
  </si>
  <si>
    <t>2. LAB ENERGY PERFORMANCE</t>
  </si>
  <si>
    <t>Ventilation optimisation</t>
  </si>
  <si>
    <t>Adopt risk based assessment to minimise lab ventilation rate</t>
  </si>
  <si>
    <t>Segregation of areas with different ACH design for more than 70% of applicable areas</t>
  </si>
  <si>
    <t>Localised exhaust or provision of effective isolation zoning of heat-generating equipment for 70% of critical heat sources and instrument</t>
  </si>
  <si>
    <t xml:space="preserve">Reuse of return or recirculated cooled air from office/support areas for air make-up to laboratories areas or design for air recirculation within laboratory while meeting safety requirement. </t>
  </si>
  <si>
    <t>Apply run-around coil, wraparound heat pipe or sensible heat recovery between the exhaust and fresh airstreams. Heat recovery from exhaust systems to pre-cool outdoor air</t>
  </si>
  <si>
    <t>Use of onsite recovered energy to reheat air</t>
  </si>
  <si>
    <t>Adopt VAV lab air flow and variable flow exhaust controls (Variable design)</t>
  </si>
  <si>
    <t>3-1a</t>
  </si>
  <si>
    <t>3. RESOURCE STEWARDSHIP</t>
  </si>
  <si>
    <t>3.2c</t>
  </si>
  <si>
    <t>Material management</t>
  </si>
  <si>
    <t>Records of equipment for tracking and ensure surplus stock can be re-distributed and to reduce unnecessary procurement.</t>
  </si>
  <si>
    <t>Labelling with details of contents, ownership and (where relevant) hazard and emergency details</t>
  </si>
  <si>
    <t>3.3a</t>
  </si>
  <si>
    <t>Operational waste management</t>
  </si>
  <si>
    <t>4. IAQ PERFORMANCE</t>
  </si>
  <si>
    <t>Provision of daylighting</t>
  </si>
  <si>
    <t>Acoustics</t>
  </si>
  <si>
    <t>Safety measures for performing lab tasks</t>
  </si>
  <si>
    <t>Periodic  briefing on lab safety and emergency procedures</t>
  </si>
  <si>
    <t>Automatic switch off/dim lighting during non-occupied hours</t>
  </si>
  <si>
    <t>Provision of variable airflow control for different zones</t>
  </si>
  <si>
    <t>5. ADVANCED GREEN EFFORTS</t>
  </si>
  <si>
    <t>5-1a</t>
  </si>
  <si>
    <t>5-1b</t>
  </si>
  <si>
    <t>KIV</t>
  </si>
  <si>
    <t>Custom</t>
  </si>
  <si>
    <t>2-2b</t>
  </si>
  <si>
    <t>2-2a</t>
  </si>
  <si>
    <t>Facilites Energy</t>
  </si>
  <si>
    <t>Fume Hood Performance</t>
  </si>
  <si>
    <t>Freezer does not meet requirement. Ultra low freezer at 14.7kWh/litre/year</t>
  </si>
  <si>
    <t>Use of MERV 14 filter</t>
  </si>
  <si>
    <t>Use of HEPA filter</t>
  </si>
  <si>
    <t>High frequency ballasts for fluorescent fittings</t>
  </si>
  <si>
    <t>Plug load management and operation</t>
  </si>
  <si>
    <r>
      <rPr>
        <sz val="10.3"/>
        <color indexed="8"/>
        <rFont val="Arial"/>
        <family val="2"/>
      </rPr>
      <t xml:space="preserve">3.1c </t>
    </r>
    <r>
      <rPr>
        <sz val="11"/>
        <rFont val="Arial"/>
        <family val="2"/>
      </rPr>
      <t xml:space="preserve"> </t>
    </r>
  </si>
  <si>
    <r>
      <rPr>
        <sz val="10.3"/>
        <color indexed="8"/>
        <rFont val="Arial"/>
        <family val="2"/>
      </rPr>
      <t xml:space="preserve">3.1d </t>
    </r>
    <r>
      <rPr>
        <sz val="11"/>
        <rFont val="Arial"/>
        <family val="2"/>
      </rPr>
      <t xml:space="preserve"> </t>
    </r>
  </si>
  <si>
    <r>
      <t xml:space="preserve"> </t>
    </r>
    <r>
      <rPr>
        <sz val="10.3"/>
        <color indexed="8"/>
        <rFont val="Arial"/>
        <family val="2"/>
      </rPr>
      <t xml:space="preserve">3.2a </t>
    </r>
    <r>
      <rPr>
        <sz val="11"/>
        <rFont val="Arial"/>
        <family val="2"/>
      </rPr>
      <t xml:space="preserve"> </t>
    </r>
  </si>
  <si>
    <r>
      <t xml:space="preserve"> </t>
    </r>
    <r>
      <rPr>
        <sz val="10.3"/>
        <color indexed="8"/>
        <rFont val="Arial"/>
        <family val="2"/>
      </rPr>
      <t xml:space="preserve">3.2b </t>
    </r>
    <r>
      <rPr>
        <sz val="11"/>
        <rFont val="Arial"/>
        <family val="2"/>
      </rPr>
      <t xml:space="preserve"> </t>
    </r>
  </si>
  <si>
    <r>
      <rPr>
        <sz val="10.3"/>
        <color indexed="8"/>
        <rFont val="Arial"/>
        <family val="2"/>
      </rPr>
      <t xml:space="preserve">Sustainable Products </t>
    </r>
    <r>
      <rPr>
        <sz val="11"/>
        <rFont val="Arial"/>
        <family val="2"/>
      </rPr>
      <t xml:space="preserve"> </t>
    </r>
  </si>
  <si>
    <r>
      <rPr>
        <sz val="10.3"/>
        <color indexed="8"/>
        <rFont val="Arial"/>
        <family val="2"/>
      </rPr>
      <t xml:space="preserve">Sustainable Construction </t>
    </r>
    <r>
      <rPr>
        <sz val="11"/>
        <rFont val="Arial"/>
        <family val="2"/>
      </rPr>
      <t xml:space="preserve"> </t>
    </r>
  </si>
  <si>
    <r>
      <rPr>
        <sz val="10.3"/>
        <color indexed="8"/>
        <rFont val="Arial"/>
        <family val="2"/>
      </rPr>
      <t xml:space="preserve">Alternative Water Sources </t>
    </r>
    <r>
      <rPr>
        <sz val="11"/>
        <rFont val="Arial"/>
        <family val="2"/>
      </rPr>
      <t xml:space="preserve"> </t>
    </r>
  </si>
  <si>
    <r>
      <rPr>
        <sz val="10.3"/>
        <color indexed="8"/>
        <rFont val="Arial"/>
        <family val="2"/>
      </rPr>
      <t xml:space="preserve">Water Usage Monitoring </t>
    </r>
    <r>
      <rPr>
        <sz val="11"/>
        <rFont val="Arial"/>
        <family val="2"/>
      </rPr>
      <t xml:space="preserve"> </t>
    </r>
  </si>
  <si>
    <r>
      <rPr>
        <sz val="10.3"/>
        <color indexed="8"/>
        <rFont val="Arial"/>
        <family val="2"/>
      </rPr>
      <t xml:space="preserve">Water Efficiency Improvement Plans </t>
    </r>
    <r>
      <rPr>
        <sz val="11"/>
        <rFont val="Arial"/>
        <family val="2"/>
      </rPr>
      <t xml:space="preserve"> </t>
    </r>
  </si>
  <si>
    <t>4-2a</t>
  </si>
  <si>
    <t>i</t>
  </si>
  <si>
    <t>ii</t>
  </si>
  <si>
    <t>iii</t>
  </si>
  <si>
    <t>iv</t>
  </si>
  <si>
    <t>v</t>
  </si>
  <si>
    <t>Polices review involving senior management</t>
  </si>
  <si>
    <t>Conduct regular laboratory infrastructure, energy and hazard assessment</t>
  </si>
  <si>
    <t>Laboratory is located in a Green Mark Platinum Building</t>
  </si>
  <si>
    <t>Laboratory is located in a Green Mark Gold Building</t>
  </si>
  <si>
    <r>
      <t>Laboratory is located in a Green Mark Gold</t>
    </r>
    <r>
      <rPr>
        <vertAlign val="superscript"/>
        <sz val="11"/>
        <color theme="1"/>
        <rFont val="Calibri"/>
        <family val="2"/>
        <scheme val="minor"/>
      </rPr>
      <t>PLUS</t>
    </r>
    <r>
      <rPr>
        <sz val="11"/>
        <color theme="1"/>
        <rFont val="Calibri"/>
        <family val="2"/>
        <scheme val="minor"/>
      </rPr>
      <t xml:space="preserve"> Building</t>
    </r>
  </si>
  <si>
    <t>Name</t>
  </si>
  <si>
    <t>Guidelines or commuications to ensure chemicals/hazardous materials are used efficiently to minimise waste generation</t>
  </si>
  <si>
    <t>Provision of bus services to pool saff to work and/or after work</t>
  </si>
  <si>
    <t>Provision of regular shuttle buses to ferry staff between premises during office hours</t>
  </si>
  <si>
    <t>Encourage staff to use public transport, bicycle or other human-powered/electric personal transportation through awareness and incentive programs</t>
  </si>
  <si>
    <t>Foster effective carpooling program (involving at least 15% of staff)</t>
  </si>
  <si>
    <t>Provision of access to greenery at common spaces</t>
  </si>
  <si>
    <t>Provision of planters or plotted plants, equivalent to 0.1% of lab areas.</t>
  </si>
  <si>
    <t>Provision of planters or plotted plants, equivalent to 0.2% of lab areas.</t>
  </si>
  <si>
    <t>Multi-stack exhaust plenum with staged-exhaust fans (Shut-off design)</t>
  </si>
  <si>
    <t>Inadequate</t>
  </si>
  <si>
    <t>Setting target improve laboratories energy performance</t>
  </si>
  <si>
    <t>VAV fume hood</t>
  </si>
  <si>
    <t>VAV fume hood with occupancy sensor or sash position monitoring</t>
  </si>
  <si>
    <t>Face Velocity</t>
  </si>
  <si>
    <t>Proper heat load calculation with diversity and occupancy consideration or benchmarking of receptacle load</t>
  </si>
  <si>
    <t>Active plug load management based on operation schedule</t>
  </si>
  <si>
    <t xml:space="preserve">Overnight equipment management system </t>
  </si>
  <si>
    <t>No of type of energy efficient equipment</t>
  </si>
  <si>
    <t>Freezer</t>
  </si>
  <si>
    <t>Tier 1</t>
  </si>
  <si>
    <t>Tier 2</t>
  </si>
  <si>
    <t>Effective regular maintenance of equipment</t>
  </si>
  <si>
    <t>Inventory optimisation</t>
  </si>
  <si>
    <t>Provision of products certified under WELS</t>
  </si>
  <si>
    <t>Provision of water efficient laboratory equipment</t>
  </si>
  <si>
    <t>Recyce water generated from regular flushing of laboratory safety fitting</t>
  </si>
  <si>
    <t>Use of local sub-meter for equipment</t>
  </si>
  <si>
    <t>Use of local sub-meter with leak detector for equipment</t>
  </si>
  <si>
    <t>Use of smart meters with remote monitoring for equipment</t>
  </si>
  <si>
    <t>Implement water efficiency improvement plans with target setting</t>
  </si>
  <si>
    <t>Use of NEWater</t>
  </si>
  <si>
    <t>Use of rainwater harvested</t>
  </si>
  <si>
    <t>On-site recycled water</t>
  </si>
  <si>
    <t>AHU condensate</t>
  </si>
  <si>
    <t>Conserve at least 50% of existing finishing in renovation</t>
  </si>
  <si>
    <t>Provision of recycling facilities at a central location</t>
  </si>
  <si>
    <t>Provision of recycling facilities at every laboratory/stragetic locations</t>
  </si>
  <si>
    <t>Recycling of equipment packaging waste</t>
  </si>
  <si>
    <t>Provide laundry service for lab coat to reduce wastage and encourage hygiene and safety.</t>
  </si>
  <si>
    <t>Waste collecting and monitoring including hazard waste management</t>
  </si>
  <si>
    <t>Waste management improvement plan</t>
  </si>
  <si>
    <t>Conduct yearly post occupancy evaluation</t>
  </si>
  <si>
    <t>Implement corrective actions</t>
  </si>
  <si>
    <t>Optimising airflow based on CFD or physical modeling</t>
  </si>
  <si>
    <t>Develop an active IAQ management programme</t>
  </si>
  <si>
    <t>Conduct IAQ audit once every three years (Indicative method)</t>
  </si>
  <si>
    <t>Conduct IAQ audit once every three years (Reference method)</t>
  </si>
  <si>
    <t>Use of MERV 13 filter</t>
  </si>
  <si>
    <t>Contaminants monitoring (Spot measurement)</t>
  </si>
  <si>
    <t>Contaminants monitoring (Continuous measurement)</t>
  </si>
  <si>
    <t>Fume Hood Commissioning (Tier 1)</t>
  </si>
  <si>
    <t>Fume Hood Commissioning (Tier 2)</t>
  </si>
  <si>
    <t>Biosafety Cabinet Comissioning (Tier 1)</t>
  </si>
  <si>
    <t>Biosafety Cabinet Comissioning (Tier 2)</t>
  </si>
  <si>
    <t>Provision of daylighting with glare control strategies</t>
  </si>
  <si>
    <t>Lighting Zoning with adequate switches</t>
  </si>
  <si>
    <t>Adequate lighting level</t>
  </si>
  <si>
    <t>Controllability of lighting system</t>
  </si>
  <si>
    <r>
      <t xml:space="preserve">LED with </t>
    </r>
    <r>
      <rPr>
        <sz val="11"/>
        <color theme="1"/>
        <rFont val="Calibri"/>
        <family val="2"/>
      </rPr>
      <t xml:space="preserve">≤ </t>
    </r>
    <r>
      <rPr>
        <sz val="11"/>
        <color theme="1"/>
        <rFont val="Calibri"/>
        <family val="2"/>
        <scheme val="minor"/>
      </rPr>
      <t>30% flicker</t>
    </r>
  </si>
  <si>
    <t>High frequency ballasts for fluorescent fittings and LED with ≤ 30% flicker</t>
  </si>
  <si>
    <t>Ambient sound level of  ≤ 65 dBA with the lab equipment in operation.</t>
  </si>
  <si>
    <r>
      <t xml:space="preserve">Ambient sound level of  </t>
    </r>
    <r>
      <rPr>
        <sz val="11"/>
        <color theme="1"/>
        <rFont val="Calibri"/>
        <family val="2"/>
      </rPr>
      <t>≤</t>
    </r>
    <r>
      <rPr>
        <sz val="11"/>
        <color theme="1"/>
        <rFont val="Arial"/>
        <family val="2"/>
      </rPr>
      <t xml:space="preserve"> 55 dBA without the lab equipment in operation.</t>
    </r>
  </si>
  <si>
    <t>Controllability of temperature</t>
  </si>
  <si>
    <t>Display panel showing the level of CO2, TVOC and/or chemicals for each laboratory</t>
  </si>
  <si>
    <t>Designated breakout areas for occupants to relax/eat outside laboratory environment</t>
  </si>
  <si>
    <t>Space pressure control on monitoring system to prevent exfiltration of contaminants</t>
  </si>
  <si>
    <t>Provision of ergonomic (adjustable) chairs for users</t>
  </si>
  <si>
    <t>Provision of ergonomic (adjustable) chairs and workstations for users</t>
  </si>
  <si>
    <t>Availability to relevant safety devices</t>
  </si>
  <si>
    <t>Provision of monitoring of individual electrical circuits/equipment</t>
  </si>
  <si>
    <t>Provision of monitoring of electrical loads with link to Building Management System (BMS) or equivalent</t>
  </si>
  <si>
    <t>Provision of automated night-setback for lower ACH for laboratory during non-operation hours</t>
  </si>
  <si>
    <t xml:space="preserve">Admin areas controlled by separate demand control ventilation </t>
  </si>
  <si>
    <t>Provision of website and/or accessible monthly readout per laboratory</t>
  </si>
  <si>
    <t>Provision of energy portal and/or dashboard for laboratory management team</t>
  </si>
  <si>
    <t>Ventilation Optimisation</t>
  </si>
  <si>
    <t>Fume Hood/Biosafety Cabinet Performance</t>
  </si>
  <si>
    <t>Total</t>
  </si>
  <si>
    <t>Sash position monitoring linked to BMS</t>
  </si>
  <si>
    <t>Allocation of spaces to encourage sustainable commuting such as bicycle</t>
  </si>
  <si>
    <t>Air distribution</t>
  </si>
  <si>
    <t>Max</t>
  </si>
  <si>
    <t>4. Smart and Healthy Laboratory</t>
  </si>
  <si>
    <t>GoldPlus</t>
  </si>
  <si>
    <t>Director, GMD(ND)</t>
  </si>
  <si>
    <t>Basic Lab information</t>
  </si>
  <si>
    <t>Floor area</t>
  </si>
  <si>
    <t>No of modular labs</t>
  </si>
  <si>
    <t>Date of Assessment:</t>
  </si>
  <si>
    <t>Date of presentation:</t>
  </si>
  <si>
    <t>Panel:</t>
  </si>
  <si>
    <t>The project met minimum requirement to achieve Green Mark Gold rating</t>
  </si>
  <si>
    <t>Achieve PUB Water Efficient Building Certification (Silver/Gold)</t>
  </si>
  <si>
    <t>Achieve PUB Water Efficient Building Certification (Basic)</t>
  </si>
  <si>
    <t xml:space="preserve">Signature / Date </t>
  </si>
  <si>
    <t>Reason(s) :</t>
  </si>
  <si>
    <t>GM2632/3/2017</t>
  </si>
  <si>
    <t>Green Mark for Laboratories: 2017</t>
  </si>
  <si>
    <t>None</t>
  </si>
  <si>
    <t>The project scores more than 50 points, eligible for Gold award. There was an delay of certification of this project from the previous 3 pilot projects as the team want to enhance internal SOPs to achieve GM Gold rating.</t>
  </si>
  <si>
    <t>Yong Siew Hwa (Co-Assessor)</t>
  </si>
  <si>
    <t>PM, Green Mark Department (Existing Buildings)</t>
  </si>
  <si>
    <t>Demand control ventilation based on active air quality sampling</t>
  </si>
  <si>
    <t>Ductless fume hoods for at least 80% of applicable equipment</t>
  </si>
  <si>
    <t>Ductless biosafety cabinets with HEPA filter for at least 80% of applicable equipment</t>
  </si>
  <si>
    <t>Adoption of task lightings to reduce general lighting W/m2 design (achieving overall W/m2 with at least 40% improvement overcode requirement)</t>
  </si>
  <si>
    <t>Choice</t>
  </si>
  <si>
    <t>Assessor's use</t>
  </si>
  <si>
    <t>Status</t>
  </si>
  <si>
    <t>Field</t>
  </si>
  <si>
    <t>Fill-in</t>
  </si>
  <si>
    <t>% of energy saving</t>
  </si>
  <si>
    <t>% improvement over baseline</t>
  </si>
  <si>
    <t>DCS system</t>
  </si>
  <si>
    <t>Natural Ventilation</t>
  </si>
  <si>
    <t>Physical Lab</t>
  </si>
  <si>
    <t>Physical Lab with DCS system</t>
  </si>
  <si>
    <t>Pls select (if applicable)</t>
  </si>
  <si>
    <t>Air distribution metric</t>
  </si>
  <si>
    <t>kW/ton</t>
  </si>
  <si>
    <t>m/s</t>
  </si>
  <si>
    <t>Measured readings</t>
  </si>
  <si>
    <t>Nameplates</t>
  </si>
  <si>
    <t>Mode of measurements</t>
  </si>
  <si>
    <t>Not inputted yet</t>
  </si>
  <si>
    <t>(Please fill in the text and score required on the left)</t>
  </si>
  <si>
    <t>Custom
(Please fill in the text and score required on the left)</t>
  </si>
  <si>
    <t xml:space="preserve">Current Version </t>
  </si>
  <si>
    <t>History of amendments</t>
  </si>
  <si>
    <t>S/N</t>
  </si>
  <si>
    <t>Version No.</t>
  </si>
  <si>
    <t>Remarks/Brief Description of changes</t>
  </si>
  <si>
    <t>Effective date</t>
  </si>
  <si>
    <t xml:space="preserve">  </t>
  </si>
  <si>
    <t>Score Card_ GM_Lab_2017_R1.01</t>
  </si>
  <si>
    <t>Uploaded first version</t>
  </si>
  <si>
    <t>GFA Breakdown for Laboratory</t>
  </si>
  <si>
    <t>GFA Breakdown for Lan Room
24 hours operation</t>
  </si>
  <si>
    <t>Laboratory EEI</t>
  </si>
  <si>
    <t>kWh/m2/yr</t>
  </si>
  <si>
    <t>*Note - Using average of 188kWh/m2/yr for office energy consumption, extracted from BCA source. Approximate that exclusion of water-side is 65% of total consumption. Lan room is taken as 270W/m2. Majority of lan room consumption is sensible load from equipment.</t>
  </si>
  <si>
    <t>A/C is usu 50% of energy consumption and water-side is 70% of A/C consumption. Therefore, consumption excluding waterside is 65%. Assume lan room's heat are 80% from equipment sensible load. With A/C COP of 6, hence, 80% x 270 + 20% x 270/6 x 30% = 218.7 (which is 80% of original load)</t>
  </si>
  <si>
    <t>Physical Properties (Pls enter value without unit)</t>
  </si>
  <si>
    <t>Operation Properties (Pls enter value without unit)</t>
  </si>
  <si>
    <t>Type of Laboratory and safety level</t>
  </si>
  <si>
    <t>Space Temp setpoint (deg C)</t>
  </si>
  <si>
    <t>Space RH setpoint (%)</t>
  </si>
  <si>
    <t>Lab annual power consumption (kWh)</t>
  </si>
  <si>
    <r>
      <t>Total Floor area (m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 A+B</t>
    </r>
  </si>
  <si>
    <t>Operating Hours/Week (hr/wk)</t>
  </si>
  <si>
    <r>
      <t>Lab Floor area (m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 A</t>
    </r>
  </si>
  <si>
    <t>EUI (kWh/m2/yr)</t>
  </si>
  <si>
    <r>
      <t>Supporting/ Common area (m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 B</t>
    </r>
  </si>
  <si>
    <t>EEI (normalised) kWh/m2/yr</t>
  </si>
  <si>
    <r>
      <t>Lab volume (m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</si>
  <si>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M&amp;E Performance (Pls enter value without unit)</t>
  </si>
  <si>
    <t>ACH (Operating)</t>
  </si>
  <si>
    <t>Number of fume hoods</t>
  </si>
  <si>
    <t>ACH (Non-Occupancy)</t>
  </si>
  <si>
    <t>Number of biosafety cabinets</t>
  </si>
  <si>
    <t>Number of freezers</t>
  </si>
  <si>
    <r>
      <t>Lighting LPD W/m</t>
    </r>
    <r>
      <rPr>
        <vertAlign val="superscript"/>
        <sz val="10"/>
        <color theme="1"/>
        <rFont val="Arial"/>
        <family val="2"/>
      </rPr>
      <t>2</t>
    </r>
  </si>
  <si>
    <t>Type of luminaires (majority)</t>
  </si>
  <si>
    <t>Lighting details</t>
  </si>
  <si>
    <t>BSL</t>
  </si>
  <si>
    <t>CSDL</t>
  </si>
  <si>
    <t>Safety Level</t>
  </si>
  <si>
    <t>Total Floor area (m2)</t>
  </si>
  <si>
    <t>Lab floor area</t>
  </si>
  <si>
    <t>Supporting/Common area (m2)</t>
  </si>
  <si>
    <t>Lab Volume (m3)</t>
  </si>
  <si>
    <t>No. of modular labs</t>
  </si>
  <si>
    <t>No. of fume hoods</t>
  </si>
  <si>
    <t>No. of biosafety cabinets</t>
  </si>
  <si>
    <t>No. of freezers</t>
  </si>
  <si>
    <t>Space Temp setpoint</t>
  </si>
  <si>
    <t>Space RH setpoint</t>
  </si>
  <si>
    <t>OH/Week</t>
  </si>
  <si>
    <t>EUI (kWh/m2.yr)</t>
  </si>
  <si>
    <t>EEI (normalised) (kWh/m2.yr)</t>
  </si>
  <si>
    <t>Air distribution performance (kW/ton)</t>
  </si>
  <si>
    <t>LPD W/m2</t>
  </si>
  <si>
    <t>Type of luminaires</t>
  </si>
  <si>
    <t>Energy Efficiency Index (EEI)</t>
  </si>
  <si>
    <t>Electricity Consumption (recent 12 months)</t>
  </si>
  <si>
    <t>Month</t>
  </si>
  <si>
    <t>Total Consumption / kWh</t>
  </si>
  <si>
    <t>Jun 18</t>
  </si>
  <si>
    <t>Jul 18</t>
  </si>
  <si>
    <t>Aug 18</t>
  </si>
  <si>
    <t>Sep 18</t>
  </si>
  <si>
    <t>Oct 18</t>
  </si>
  <si>
    <t>Nov 18</t>
  </si>
  <si>
    <t>Dec 18</t>
  </si>
  <si>
    <t>Jan 19</t>
  </si>
  <si>
    <t>Feb 19</t>
  </si>
  <si>
    <t>Mar 19</t>
  </si>
  <si>
    <t>Apr 19</t>
  </si>
  <si>
    <t>May 19</t>
  </si>
  <si>
    <t xml:space="preserve">Total </t>
  </si>
  <si>
    <t>Average</t>
  </si>
  <si>
    <t>GFA Breakdown for Office, Facilities Support Room</t>
  </si>
  <si>
    <t>Operating Hours (hrs/wk)</t>
  </si>
  <si>
    <t>Total Energy Consumption  (recent 12 months)</t>
  </si>
  <si>
    <t>Energy Consumption for Office and Lan room, support areas (recent 12 months)</t>
  </si>
  <si>
    <t>Energy Consumption for Laboratory (recent 12 months)</t>
  </si>
  <si>
    <t>Laboratory EUI</t>
  </si>
  <si>
    <t>Lighting fitting details</t>
  </si>
  <si>
    <t>Eg. 2x28W</t>
  </si>
  <si>
    <t>Number of modular labs</t>
  </si>
  <si>
    <t>Score Card_ GM_Lab_2017_R1.02</t>
  </si>
  <si>
    <t>Revision for user friendliness</t>
  </si>
  <si>
    <t>Chiller System Efficiency in kW/ton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</si>
</sst>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"/>
    <numFmt numFmtId="165" formatCode="0.0"/>
  </numFmts>
  <fonts count="3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Wingdings"/>
      <charset val="2"/>
    </font>
    <font>
      <sz val="10"/>
      <color theme="1"/>
      <name val="Symbol"/>
      <family val="1"/>
      <charset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3F3F3F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0.3"/>
      <color indexed="8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3F3F3F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  <font>
      <b/>
      <sz val="16"/>
      <color theme="1"/>
      <name val="Arial"/>
      <family val="2"/>
    </font>
    <font>
      <b/>
      <u/>
      <sz val="14"/>
      <color theme="1"/>
      <name val="Arial"/>
      <family val="2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18" fillId="0" borderId="0"/>
    <xf numFmtId="0" fontId="21" fillId="0" borderId="0" applyNumberFormat="0" applyFill="0" applyBorder="0" applyAlignment="0" applyProtection="0"/>
  </cellStyleXfs>
  <cellXfs count="291">
    <xf numFmtId="0" fontId="0" fillId="0" borderId="0" xfId="0"/>
    <xf numFmtId="0" fontId="0" fillId="4" borderId="0" xfId="0" applyFill="1"/>
    <xf numFmtId="0" fontId="3" fillId="0" borderId="0" xfId="0" applyFont="1"/>
    <xf numFmtId="0" fontId="6" fillId="0" borderId="0" xfId="0" applyFont="1"/>
    <xf numFmtId="0" fontId="4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0" fontId="7" fillId="2" borderId="3" xfId="1" applyFont="1" applyBorder="1" applyAlignment="1">
      <alignment horizontal="left" vertical="top"/>
    </xf>
    <xf numFmtId="0" fontId="9" fillId="0" borderId="6" xfId="0" applyNumberFormat="1" applyFont="1" applyFill="1" applyBorder="1" applyAlignment="1" applyProtection="1">
      <alignment horizontal="left" vertical="top" wrapText="1"/>
    </xf>
    <xf numFmtId="0" fontId="6" fillId="0" borderId="6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7" fillId="2" borderId="3" xfId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/>
    <xf numFmtId="0" fontId="0" fillId="5" borderId="0" xfId="0" applyFill="1" applyAlignment="1"/>
    <xf numFmtId="0" fontId="0" fillId="0" borderId="0" xfId="0" applyFill="1" applyBorder="1" applyAlignment="1"/>
    <xf numFmtId="0" fontId="0" fillId="6" borderId="0" xfId="0" applyFill="1"/>
    <xf numFmtId="0" fontId="6" fillId="0" borderId="14" xfId="0" applyFont="1" applyFill="1" applyBorder="1" applyAlignment="1">
      <alignment horizontal="center" vertical="top"/>
    </xf>
    <xf numFmtId="0" fontId="0" fillId="5" borderId="0" xfId="0" applyFill="1"/>
    <xf numFmtId="0" fontId="6" fillId="0" borderId="1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0" fillId="7" borderId="0" xfId="0" applyFill="1" applyAlignment="1"/>
    <xf numFmtId="0" fontId="6" fillId="0" borderId="11" xfId="0" applyFont="1" applyFill="1" applyBorder="1" applyAlignment="1">
      <alignment horizontal="center" vertical="top"/>
    </xf>
    <xf numFmtId="0" fontId="7" fillId="2" borderId="17" xfId="1" applyFont="1" applyBorder="1" applyAlignment="1">
      <alignment horizontal="left" vertical="top"/>
    </xf>
    <xf numFmtId="0" fontId="0" fillId="9" borderId="0" xfId="0" applyFill="1" applyAlignment="1"/>
    <xf numFmtId="0" fontId="4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vertical="top" wrapText="1"/>
    </xf>
    <xf numFmtId="0" fontId="5" fillId="0" borderId="0" xfId="0" applyFont="1" applyAlignment="1">
      <alignment horizontal="justify" vertical="center"/>
    </xf>
    <xf numFmtId="0" fontId="5" fillId="0" borderId="0" xfId="0" applyFont="1"/>
    <xf numFmtId="0" fontId="14" fillId="0" borderId="0" xfId="0" applyFont="1" applyAlignment="1">
      <alignment horizontal="left" vertical="center"/>
    </xf>
    <xf numFmtId="0" fontId="5" fillId="0" borderId="3" xfId="0" applyFont="1" applyBorder="1"/>
    <xf numFmtId="0" fontId="5" fillId="0" borderId="0" xfId="0" applyFont="1" applyAlignment="1">
      <alignment vertical="center"/>
    </xf>
    <xf numFmtId="0" fontId="5" fillId="0" borderId="0" xfId="0" quotePrefix="1" applyFont="1"/>
    <xf numFmtId="0" fontId="5" fillId="0" borderId="13" xfId="0" applyFont="1" applyBorder="1"/>
    <xf numFmtId="0" fontId="5" fillId="10" borderId="8" xfId="0" applyFont="1" applyFill="1" applyBorder="1" applyAlignment="1">
      <alignment vertical="top"/>
    </xf>
    <xf numFmtId="0" fontId="5" fillId="10" borderId="9" xfId="0" applyFont="1" applyFill="1" applyBorder="1" applyAlignment="1">
      <alignment vertical="top"/>
    </xf>
    <xf numFmtId="0" fontId="15" fillId="3" borderId="3" xfId="2" applyFont="1" applyBorder="1" applyAlignment="1"/>
    <xf numFmtId="0" fontId="15" fillId="3" borderId="5" xfId="2" applyFont="1" applyBorder="1" applyAlignment="1"/>
    <xf numFmtId="0" fontId="15" fillId="3" borderId="6" xfId="2" applyFont="1" applyBorder="1" applyAlignment="1"/>
    <xf numFmtId="0" fontId="15" fillId="3" borderId="7" xfId="2" applyFont="1" applyBorder="1" applyAlignment="1"/>
    <xf numFmtId="0" fontId="16" fillId="2" borderId="3" xfId="1" applyFont="1" applyBorder="1" applyAlignment="1">
      <alignment horizontal="left" indent="1"/>
    </xf>
    <xf numFmtId="0" fontId="16" fillId="2" borderId="3" xfId="1" applyFont="1" applyBorder="1"/>
    <xf numFmtId="0" fontId="5" fillId="0" borderId="3" xfId="0" applyFont="1" applyBorder="1" applyAlignment="1">
      <alignment horizontal="left" indent="1"/>
    </xf>
    <xf numFmtId="0" fontId="5" fillId="0" borderId="3" xfId="0" applyFont="1" applyFill="1" applyBorder="1" applyAlignment="1">
      <alignment horizontal="left" indent="1"/>
    </xf>
    <xf numFmtId="0" fontId="5" fillId="0" borderId="3" xfId="0" applyFont="1" applyFill="1" applyBorder="1"/>
    <xf numFmtId="0" fontId="15" fillId="3" borderId="3" xfId="2" applyFont="1" applyBorder="1" applyAlignment="1">
      <alignment horizontal="right"/>
    </xf>
    <xf numFmtId="0" fontId="16" fillId="2" borderId="3" xfId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8" borderId="3" xfId="0" applyFont="1" applyFill="1" applyBorder="1" applyAlignment="1">
      <alignment horizontal="right"/>
    </xf>
    <xf numFmtId="0" fontId="5" fillId="8" borderId="3" xfId="0" applyFont="1" applyFill="1" applyBorder="1"/>
    <xf numFmtId="164" fontId="5" fillId="0" borderId="3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5" fillId="0" borderId="0" xfId="0" applyFont="1" applyFill="1"/>
    <xf numFmtId="0" fontId="6" fillId="0" borderId="16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7" fillId="2" borderId="15" xfId="1" applyFont="1" applyBorder="1" applyAlignment="1">
      <alignment horizontal="left" vertical="top"/>
    </xf>
    <xf numFmtId="0" fontId="6" fillId="0" borderId="16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0" fontId="9" fillId="0" borderId="5" xfId="0" applyNumberFormat="1" applyFont="1" applyFill="1" applyBorder="1" applyAlignment="1" applyProtection="1">
      <alignment horizontal="left" vertical="top" wrapText="1"/>
    </xf>
    <xf numFmtId="0" fontId="9" fillId="0" borderId="4" xfId="0" applyNumberFormat="1" applyFont="1" applyFill="1" applyBorder="1" applyAlignment="1" applyProtection="1">
      <alignment horizontal="left" vertical="top" wrapText="1"/>
    </xf>
    <xf numFmtId="0" fontId="9" fillId="0" borderId="16" xfId="0" applyNumberFormat="1" applyFont="1" applyFill="1" applyBorder="1" applyAlignment="1" applyProtection="1">
      <alignment horizontal="left" vertical="top"/>
    </xf>
    <xf numFmtId="0" fontId="7" fillId="2" borderId="0" xfId="1" applyFont="1" applyBorder="1" applyAlignment="1">
      <alignment horizontal="center" vertical="top"/>
    </xf>
    <xf numFmtId="2" fontId="0" fillId="0" borderId="0" xfId="0" applyNumberFormat="1"/>
    <xf numFmtId="0" fontId="17" fillId="12" borderId="0" xfId="0" applyFont="1" applyFill="1"/>
    <xf numFmtId="0" fontId="5" fillId="0" borderId="4" xfId="0" applyFont="1" applyBorder="1" applyAlignment="1" applyProtection="1">
      <alignment horizontal="justify" vertical="top" wrapText="1"/>
      <protection locked="0"/>
    </xf>
    <xf numFmtId="0" fontId="0" fillId="0" borderId="0" xfId="0" applyProtection="1">
      <protection locked="0"/>
    </xf>
    <xf numFmtId="0" fontId="5" fillId="0" borderId="0" xfId="0" applyFont="1" applyBorder="1" applyAlignment="1" applyProtection="1">
      <alignment horizontal="justify" vertical="top" wrapText="1"/>
      <protection locked="0"/>
    </xf>
    <xf numFmtId="0" fontId="5" fillId="0" borderId="13" xfId="0" applyFont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6" fillId="0" borderId="16" xfId="0" applyFont="1" applyFill="1" applyBorder="1" applyAlignment="1" applyProtection="1">
      <alignment horizontal="center" vertical="top"/>
      <protection locked="0"/>
    </xf>
    <xf numFmtId="0" fontId="0" fillId="6" borderId="3" xfId="0" applyFill="1" applyBorder="1" applyProtection="1">
      <protection locked="0"/>
    </xf>
    <xf numFmtId="0" fontId="5" fillId="0" borderId="11" xfId="0" applyFont="1" applyBorder="1" applyAlignment="1" applyProtection="1">
      <alignment horizontal="justify" vertical="top" wrapText="1"/>
      <protection locked="0"/>
    </xf>
    <xf numFmtId="0" fontId="6" fillId="0" borderId="15" xfId="0" applyFont="1" applyFill="1" applyBorder="1" applyAlignment="1" applyProtection="1">
      <alignment horizontal="center" vertical="top"/>
      <protection locked="0"/>
    </xf>
    <xf numFmtId="0" fontId="5" fillId="0" borderId="14" xfId="0" applyFont="1" applyBorder="1" applyAlignment="1" applyProtection="1">
      <alignment horizontal="justify" vertical="top" wrapText="1"/>
      <protection locked="0"/>
    </xf>
    <xf numFmtId="0" fontId="6" fillId="0" borderId="17" xfId="0" applyFont="1" applyFill="1" applyBorder="1" applyAlignment="1" applyProtection="1">
      <alignment horizontal="center" vertical="top"/>
      <protection locked="0"/>
    </xf>
    <xf numFmtId="0" fontId="5" fillId="0" borderId="11" xfId="0" applyFont="1" applyFill="1" applyBorder="1" applyAlignment="1" applyProtection="1">
      <alignment horizontal="justify" vertical="top" wrapText="1"/>
      <protection locked="0"/>
    </xf>
    <xf numFmtId="0" fontId="0" fillId="6" borderId="0" xfId="0" applyFill="1" applyProtection="1">
      <protection locked="0"/>
    </xf>
    <xf numFmtId="0" fontId="5" fillId="0" borderId="13" xfId="0" applyFont="1" applyFill="1" applyBorder="1" applyAlignment="1" applyProtection="1">
      <alignment horizontal="justify" vertical="top" wrapText="1"/>
      <protection locked="0"/>
    </xf>
    <xf numFmtId="2" fontId="0" fillId="6" borderId="3" xfId="0" applyNumberFormat="1" applyFill="1" applyBorder="1" applyProtection="1">
      <protection locked="0"/>
    </xf>
    <xf numFmtId="0" fontId="5" fillId="0" borderId="7" xfId="0" applyFont="1" applyBorder="1" applyAlignment="1" applyProtection="1">
      <alignment horizontal="justify" vertical="top" wrapText="1"/>
      <protection locked="0"/>
    </xf>
    <xf numFmtId="0" fontId="5" fillId="0" borderId="6" xfId="0" applyFont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center" vertical="top"/>
    </xf>
    <xf numFmtId="0" fontId="6" fillId="0" borderId="15" xfId="0" applyFont="1" applyBorder="1" applyAlignment="1" applyProtection="1">
      <alignment horizontal="center" vertical="top"/>
    </xf>
    <xf numFmtId="0" fontId="6" fillId="0" borderId="17" xfId="0" applyFont="1" applyBorder="1" applyAlignment="1" applyProtection="1">
      <alignment horizontal="center" vertical="top"/>
    </xf>
    <xf numFmtId="0" fontId="6" fillId="0" borderId="16" xfId="0" applyFont="1" applyFill="1" applyBorder="1" applyAlignment="1" applyProtection="1">
      <alignment horizontal="center" vertical="top"/>
    </xf>
    <xf numFmtId="0" fontId="6" fillId="0" borderId="15" xfId="0" applyFont="1" applyFill="1" applyBorder="1" applyAlignment="1" applyProtection="1">
      <alignment horizontal="center" vertical="top"/>
    </xf>
    <xf numFmtId="0" fontId="6" fillId="0" borderId="17" xfId="0" applyFont="1" applyFill="1" applyBorder="1" applyAlignment="1" applyProtection="1">
      <alignment horizontal="center" vertical="top"/>
    </xf>
    <xf numFmtId="165" fontId="6" fillId="0" borderId="15" xfId="0" applyNumberFormat="1" applyFont="1" applyBorder="1" applyAlignment="1" applyProtection="1">
      <alignment horizontal="center" vertical="top"/>
    </xf>
    <xf numFmtId="1" fontId="6" fillId="0" borderId="17" xfId="0" applyNumberFormat="1" applyFont="1" applyBorder="1" applyAlignment="1" applyProtection="1">
      <alignment horizontal="center" vertical="top"/>
    </xf>
    <xf numFmtId="0" fontId="6" fillId="0" borderId="11" xfId="0" applyFont="1" applyBorder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center" vertical="top"/>
    </xf>
    <xf numFmtId="0" fontId="6" fillId="0" borderId="11" xfId="0" applyFont="1" applyFill="1" applyBorder="1" applyAlignment="1" applyProtection="1">
      <alignment horizontal="center" vertical="top"/>
    </xf>
    <xf numFmtId="0" fontId="7" fillId="2" borderId="3" xfId="1" applyFont="1" applyBorder="1" applyAlignment="1" applyProtection="1">
      <alignment horizontal="center" vertical="top"/>
      <protection locked="0"/>
    </xf>
    <xf numFmtId="0" fontId="6" fillId="0" borderId="14" xfId="0" applyFont="1" applyFill="1" applyBorder="1" applyAlignment="1" applyProtection="1">
      <alignment horizontal="center" vertical="top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7" xfId="0" applyFont="1" applyFill="1" applyBorder="1" applyAlignment="1" applyProtection="1">
      <alignment horizontal="justify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9" xfId="0" applyFont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horizontal="left" vertical="top" wrapText="1"/>
    </xf>
    <xf numFmtId="0" fontId="5" fillId="0" borderId="14" xfId="0" applyFont="1" applyBorder="1" applyAlignment="1" applyProtection="1">
      <alignment horizontal="left" vertical="top" wrapText="1"/>
    </xf>
    <xf numFmtId="0" fontId="5" fillId="0" borderId="7" xfId="0" applyFont="1" applyFill="1" applyBorder="1" applyAlignment="1" applyProtection="1">
      <alignment horizontal="left" vertical="top" wrapText="1"/>
    </xf>
    <xf numFmtId="0" fontId="5" fillId="0" borderId="11" xfId="0" applyFont="1" applyFill="1" applyBorder="1" applyAlignment="1" applyProtection="1">
      <alignment horizontal="left" vertical="top" wrapText="1"/>
    </xf>
    <xf numFmtId="0" fontId="7" fillId="2" borderId="3" xfId="1" applyFont="1" applyBorder="1" applyAlignment="1" applyProtection="1">
      <alignment horizontal="center" vertical="top"/>
    </xf>
    <xf numFmtId="0" fontId="0" fillId="0" borderId="0" xfId="0" applyProtection="1"/>
    <xf numFmtId="0" fontId="0" fillId="4" borderId="0" xfId="0" applyFill="1" applyAlignment="1">
      <alignment wrapText="1"/>
    </xf>
    <xf numFmtId="0" fontId="0" fillId="0" borderId="3" xfId="0" applyBorder="1" applyProtection="1"/>
    <xf numFmtId="0" fontId="0" fillId="4" borderId="0" xfId="0" applyFill="1" applyProtection="1"/>
    <xf numFmtId="0" fontId="5" fillId="0" borderId="11" xfId="0" applyFont="1" applyBorder="1" applyAlignment="1" applyProtection="1">
      <alignment horizontal="justify" vertical="top" wrapText="1"/>
    </xf>
    <xf numFmtId="0" fontId="5" fillId="0" borderId="14" xfId="0" applyFont="1" applyBorder="1" applyAlignment="1" applyProtection="1">
      <alignment horizontal="justify" vertical="top" wrapText="1"/>
    </xf>
    <xf numFmtId="0" fontId="6" fillId="0" borderId="14" xfId="0" applyFont="1" applyBorder="1" applyAlignment="1" applyProtection="1">
      <alignment horizontal="center" vertical="top"/>
    </xf>
    <xf numFmtId="0" fontId="18" fillId="0" borderId="0" xfId="3"/>
    <xf numFmtId="0" fontId="20" fillId="4" borderId="3" xfId="3" applyFont="1" applyFill="1" applyBorder="1"/>
    <xf numFmtId="0" fontId="21" fillId="0" borderId="0" xfId="4"/>
    <xf numFmtId="0" fontId="18" fillId="0" borderId="0" xfId="3" applyAlignment="1">
      <alignment vertical="center"/>
    </xf>
    <xf numFmtId="0" fontId="19" fillId="0" borderId="18" xfId="3" applyFont="1" applyBorder="1" applyAlignment="1">
      <alignment horizontal="center" vertical="center" wrapText="1"/>
    </xf>
    <xf numFmtId="0" fontId="19" fillId="0" borderId="19" xfId="3" applyFont="1" applyBorder="1" applyAlignment="1">
      <alignment horizontal="center" vertical="center" wrapText="1"/>
    </xf>
    <xf numFmtId="0" fontId="17" fillId="13" borderId="0" xfId="3" applyFont="1" applyFill="1"/>
    <xf numFmtId="0" fontId="18" fillId="0" borderId="20" xfId="3" applyFont="1" applyBorder="1" applyAlignment="1">
      <alignment vertical="center" wrapText="1"/>
    </xf>
    <xf numFmtId="15" fontId="18" fillId="0" borderId="21" xfId="3" applyNumberFormat="1" applyFont="1" applyBorder="1" applyAlignment="1">
      <alignment vertical="center" wrapText="1"/>
    </xf>
    <xf numFmtId="0" fontId="0" fillId="4" borderId="3" xfId="3" applyFont="1" applyFill="1" applyBorder="1" applyAlignment="1">
      <alignment vertical="center" wrapText="1"/>
    </xf>
    <xf numFmtId="0" fontId="0" fillId="0" borderId="21" xfId="3" applyFont="1" applyBorder="1" applyAlignment="1">
      <alignment vertical="center" wrapText="1"/>
    </xf>
    <xf numFmtId="49" fontId="22" fillId="14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/>
    </xf>
    <xf numFmtId="2" fontId="22" fillId="14" borderId="3" xfId="0" applyNumberFormat="1" applyFont="1" applyFill="1" applyBorder="1" applyAlignment="1">
      <alignment horizontal="center" vertical="center"/>
    </xf>
    <xf numFmtId="2" fontId="22" fillId="14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/>
    </xf>
    <xf numFmtId="49" fontId="23" fillId="0" borderId="3" xfId="0" applyNumberFormat="1" applyFont="1" applyFill="1" applyBorder="1" applyAlignment="1">
      <alignment horizontal="center" vertical="center"/>
    </xf>
    <xf numFmtId="2" fontId="24" fillId="4" borderId="3" xfId="0" applyNumberFormat="1" applyFont="1" applyFill="1" applyBorder="1" applyAlignment="1">
      <alignment horizontal="center" vertical="center"/>
    </xf>
    <xf numFmtId="2" fontId="25" fillId="9" borderId="3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0" fillId="0" borderId="3" xfId="0" applyBorder="1"/>
    <xf numFmtId="0" fontId="5" fillId="10" borderId="3" xfId="0" applyFont="1" applyFill="1" applyBorder="1" applyAlignment="1">
      <alignment vertical="center" wrapText="1"/>
    </xf>
    <xf numFmtId="0" fontId="0" fillId="0" borderId="16" xfId="0" applyBorder="1"/>
    <xf numFmtId="0" fontId="5" fillId="10" borderId="7" xfId="0" applyFont="1" applyFill="1" applyBorder="1" applyAlignment="1">
      <alignment vertical="center" wrapText="1"/>
    </xf>
    <xf numFmtId="0" fontId="0" fillId="15" borderId="3" xfId="0" applyFill="1" applyBorder="1"/>
    <xf numFmtId="165" fontId="5" fillId="16" borderId="3" xfId="0" applyNumberFormat="1" applyFont="1" applyFill="1" applyBorder="1" applyAlignment="1">
      <alignment vertical="center" wrapText="1"/>
    </xf>
    <xf numFmtId="165" fontId="5" fillId="16" borderId="3" xfId="0" applyNumberFormat="1" applyFont="1" applyFill="1" applyBorder="1" applyAlignment="1">
      <alignment horizontal="left" vertical="center" wrapText="1"/>
    </xf>
    <xf numFmtId="1" fontId="5" fillId="16" borderId="3" xfId="0" applyNumberFormat="1" applyFont="1" applyFill="1" applyBorder="1" applyAlignment="1">
      <alignment horizontal="left" vertical="center" wrapText="1"/>
    </xf>
    <xf numFmtId="2" fontId="6" fillId="0" borderId="16" xfId="0" applyNumberFormat="1" applyFont="1" applyBorder="1" applyAlignment="1" applyProtection="1">
      <alignment horizontal="center" vertical="top"/>
    </xf>
    <xf numFmtId="2" fontId="6" fillId="0" borderId="7" xfId="0" applyNumberFormat="1" applyFont="1" applyBorder="1" applyAlignment="1" applyProtection="1">
      <alignment horizontal="center" vertical="top"/>
    </xf>
    <xf numFmtId="0" fontId="28" fillId="0" borderId="0" xfId="0" applyFont="1" applyAlignment="1"/>
    <xf numFmtId="0" fontId="28" fillId="0" borderId="0" xfId="0" applyFont="1"/>
    <xf numFmtId="0" fontId="29" fillId="0" borderId="0" xfId="0" applyFont="1"/>
    <xf numFmtId="49" fontId="22" fillId="17" borderId="3" xfId="0" applyNumberFormat="1" applyFont="1" applyFill="1" applyBorder="1" applyAlignment="1">
      <alignment horizontal="center" vertical="center"/>
    </xf>
    <xf numFmtId="2" fontId="22" fillId="17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/>
    </xf>
    <xf numFmtId="49" fontId="22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7" fillId="2" borderId="3" xfId="1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30" fillId="0" borderId="0" xfId="0" applyFont="1" applyProtection="1"/>
    <xf numFmtId="0" fontId="5" fillId="0" borderId="4" xfId="0" applyFont="1" applyBorder="1" applyAlignment="1" applyProtection="1">
      <alignment horizontal="justify" vertical="top" wrapText="1"/>
    </xf>
    <xf numFmtId="2" fontId="5" fillId="16" borderId="3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6" fillId="0" borderId="16" xfId="0" applyFont="1" applyBorder="1" applyAlignment="1" applyProtection="1">
      <alignment horizontal="center" vertical="top"/>
      <protection locked="0"/>
    </xf>
    <xf numFmtId="0" fontId="6" fillId="0" borderId="17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16" fillId="2" borderId="3" xfId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10" borderId="5" xfId="0" applyFont="1" applyFill="1" applyBorder="1" applyAlignment="1">
      <alignment horizontal="center"/>
    </xf>
    <xf numFmtId="0" fontId="5" fillId="10" borderId="6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top" wrapText="1"/>
    </xf>
    <xf numFmtId="0" fontId="15" fillId="3" borderId="3" xfId="2" applyFont="1" applyBorder="1" applyAlignment="1">
      <alignment horizontal="left"/>
    </xf>
    <xf numFmtId="0" fontId="5" fillId="0" borderId="8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3" xfId="0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0" fillId="0" borderId="0" xfId="0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10" borderId="5" xfId="0" applyFont="1" applyFill="1" applyBorder="1" applyAlignment="1">
      <alignment horizontal="left" vertical="center"/>
    </xf>
    <xf numFmtId="0" fontId="5" fillId="10" borderId="7" xfId="0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0" fontId="5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9" fillId="0" borderId="8" xfId="0" applyNumberFormat="1" applyFont="1" applyFill="1" applyBorder="1" applyAlignment="1" applyProtection="1">
      <alignment horizontal="left" vertical="top" wrapText="1"/>
    </xf>
    <xf numFmtId="0" fontId="9" fillId="0" borderId="10" xfId="0" applyNumberFormat="1" applyFont="1" applyFill="1" applyBorder="1" applyAlignment="1" applyProtection="1">
      <alignment horizontal="left" vertical="top" wrapText="1"/>
    </xf>
    <xf numFmtId="0" fontId="9" fillId="0" borderId="12" xfId="0" applyNumberFormat="1" applyFont="1" applyFill="1" applyBorder="1" applyAlignment="1" applyProtection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7" fillId="2" borderId="7" xfId="1" applyFont="1" applyBorder="1" applyAlignment="1">
      <alignment horizontal="left"/>
    </xf>
    <xf numFmtId="0" fontId="7" fillId="2" borderId="16" xfId="1" applyFont="1" applyBorder="1" applyAlignment="1">
      <alignment horizontal="left"/>
    </xf>
    <xf numFmtId="0" fontId="7" fillId="2" borderId="15" xfId="1" applyFont="1" applyBorder="1" applyAlignment="1">
      <alignment horizontal="left"/>
    </xf>
    <xf numFmtId="0" fontId="6" fillId="0" borderId="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8" fillId="3" borderId="10" xfId="2" applyFont="1" applyBorder="1" applyAlignment="1">
      <alignment horizontal="left"/>
    </xf>
    <xf numFmtId="0" fontId="8" fillId="3" borderId="0" xfId="2" applyFont="1" applyBorder="1" applyAlignment="1">
      <alignment horizontal="left"/>
    </xf>
    <xf numFmtId="0" fontId="8" fillId="3" borderId="11" xfId="2" applyFont="1" applyBorder="1" applyAlignment="1">
      <alignment horizontal="left"/>
    </xf>
    <xf numFmtId="0" fontId="7" fillId="2" borderId="3" xfId="1" applyFont="1" applyBorder="1" applyAlignment="1">
      <alignment horizontal="left"/>
    </xf>
    <xf numFmtId="0" fontId="7" fillId="2" borderId="11" xfId="1" applyFont="1" applyBorder="1" applyAlignment="1">
      <alignment horizontal="left" vertical="top"/>
    </xf>
    <xf numFmtId="0" fontId="7" fillId="2" borderId="15" xfId="1" applyFont="1" applyBorder="1" applyAlignment="1">
      <alignment horizontal="left" vertical="top"/>
    </xf>
    <xf numFmtId="0" fontId="6" fillId="0" borderId="10" xfId="0" applyFont="1" applyBorder="1" applyAlignment="1">
      <alignment horizontal="left" vertical="top" wrapText="1"/>
    </xf>
    <xf numFmtId="0" fontId="7" fillId="2" borderId="14" xfId="1" applyFont="1" applyBorder="1" applyAlignment="1">
      <alignment horizontal="left"/>
    </xf>
    <xf numFmtId="0" fontId="6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9" fillId="0" borderId="4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16" xfId="0" applyNumberFormat="1" applyFont="1" applyFill="1" applyBorder="1" applyAlignment="1" applyProtection="1">
      <alignment horizontal="left" vertical="top"/>
    </xf>
    <xf numFmtId="0" fontId="9" fillId="0" borderId="15" xfId="0" applyNumberFormat="1" applyFont="1" applyFill="1" applyBorder="1" applyAlignment="1" applyProtection="1">
      <alignment horizontal="left" vertical="top"/>
    </xf>
    <xf numFmtId="0" fontId="9" fillId="0" borderId="17" xfId="0" applyNumberFormat="1" applyFont="1" applyFill="1" applyBorder="1" applyAlignment="1" applyProtection="1">
      <alignment horizontal="left" vertical="top"/>
    </xf>
    <xf numFmtId="0" fontId="7" fillId="2" borderId="3" xfId="1" applyFont="1" applyBorder="1" applyAlignment="1">
      <alignment horizontal="left" vertical="center"/>
    </xf>
    <xf numFmtId="0" fontId="7" fillId="2" borderId="16" xfId="1" applyFont="1" applyBorder="1" applyAlignment="1">
      <alignment horizontal="left" vertical="center"/>
    </xf>
    <xf numFmtId="0" fontId="7" fillId="2" borderId="5" xfId="1" applyFont="1" applyBorder="1" applyAlignment="1">
      <alignment horizontal="left"/>
    </xf>
    <xf numFmtId="0" fontId="7" fillId="2" borderId="0" xfId="1" applyFont="1" applyBorder="1" applyAlignment="1">
      <alignment horizontal="left"/>
    </xf>
    <xf numFmtId="0" fontId="7" fillId="2" borderId="11" xfId="1" applyFont="1" applyBorder="1" applyAlignment="1">
      <alignment horizontal="left"/>
    </xf>
    <xf numFmtId="0" fontId="6" fillId="0" borderId="3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7" fillId="2" borderId="3" xfId="1" applyFont="1" applyBorder="1" applyAlignment="1">
      <alignment horizontal="center"/>
    </xf>
    <xf numFmtId="0" fontId="0" fillId="11" borderId="0" xfId="0" applyFill="1" applyAlignment="1">
      <alignment horizontal="left"/>
    </xf>
    <xf numFmtId="0" fontId="7" fillId="2" borderId="4" xfId="1" applyFont="1" applyBorder="1" applyAlignment="1">
      <alignment horizontal="left"/>
    </xf>
    <xf numFmtId="0" fontId="7" fillId="2" borderId="9" xfId="1" applyFont="1" applyBorder="1" applyAlignment="1">
      <alignment horizontal="left"/>
    </xf>
    <xf numFmtId="0" fontId="9" fillId="0" borderId="5" xfId="0" applyNumberFormat="1" applyFont="1" applyFill="1" applyBorder="1" applyAlignment="1" applyProtection="1">
      <alignment horizontal="left" vertical="top" wrapText="1"/>
    </xf>
    <xf numFmtId="0" fontId="5" fillId="10" borderId="5" xfId="0" applyFont="1" applyFill="1" applyBorder="1" applyAlignment="1">
      <alignment horizontal="left" vertical="center" wrapText="1"/>
    </xf>
    <xf numFmtId="0" fontId="5" fillId="10" borderId="7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5" fillId="10" borderId="3" xfId="0" applyFont="1" applyFill="1" applyBorder="1" applyAlignment="1">
      <alignment horizontal="left" vertical="center" wrapText="1"/>
    </xf>
  </cellXfs>
  <cellStyles count="5">
    <cellStyle name="Check Cell" xfId="2" builtinId="23"/>
    <cellStyle name="Hyperlink" xfId="4" builtinId="8"/>
    <cellStyle name="Normal" xfId="0" builtinId="0"/>
    <cellStyle name="Normal 2 2" xfId="3" xr:uid="{00000000-0005-0000-0000-000003000000}"/>
    <cellStyle name="Output" xfId="1" builtinId="21"/>
  </cellStyles>
  <dxfs count="25"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2"/>
          <c:order val="0"/>
          <c:tx>
            <c:strRef>
              <c:f>'Cover Page'!$O$15</c:f>
              <c:strCache>
                <c:ptCount val="1"/>
                <c:pt idx="0">
                  <c:v>Point scored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'Cover Page'!$O$16:$O$20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'Cover Page'!$L$16:$N$20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E4E-4055-8859-1F2BB63B8E29}"/>
            </c:ext>
          </c:extLst>
        </c:ser>
        <c:ser>
          <c:idx val="0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'Cover Page'!$M$16:$M$17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'Cover Page'!$L$16:$N$20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E4E-4055-8859-1F2BB63B8E29}"/>
            </c:ext>
          </c:extLst>
        </c:ser>
        <c:ser>
          <c:idx val="1"/>
          <c:order val="2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'Cover Page'!$N$16:$N$17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'Cover Page'!$L$16:$N$20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E4E-4055-8859-1F2BB63B8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2947680"/>
        <c:axId val="222948240"/>
      </c:barChart>
      <c:catAx>
        <c:axId val="22294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948240"/>
        <c:crosses val="autoZero"/>
        <c:auto val="1"/>
        <c:lblAlgn val="ctr"/>
        <c:lblOffset val="100"/>
        <c:noMultiLvlLbl val="0"/>
      </c:catAx>
      <c:valAx>
        <c:axId val="22294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94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L$2" lockText="1" noThreeD="1"/>
</file>

<file path=xl/ctrlProps/ctrlProp2.xml><?xml version="1.0" encoding="utf-8"?>
<formControlPr xmlns="http://schemas.microsoft.com/office/spreadsheetml/2009/9/main" objectType="CheckBox" fmlaLink="$L$3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2968153</xdr:colOff>
      <xdr:row>0</xdr:row>
      <xdr:rowOff>57150</xdr:rowOff>
    </xdr:from>
    <xdr:ext cx="1985854" cy="1985854"/>
    <xdr:pic>
      <xdr:nvPicPr>
        <xdr:cNvPr id="2" name="Picture 1" descr="gm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73303" y="57150"/>
          <a:ext cx="1985854" cy="1985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304800</xdr:colOff>
      <xdr:row>6</xdr:row>
      <xdr:rowOff>180975</xdr:rowOff>
    </xdr:from>
    <xdr:to>
      <xdr:col>3</xdr:col>
      <xdr:colOff>2038350</xdr:colOff>
      <xdr:row>15</xdr:row>
      <xdr:rowOff>112777</xdr:rowOff>
    </xdr:to>
    <xdr:sp macro="" textlink="">
      <xdr:nvSpPr>
        <xdr:cNvPr id="3" name="Tit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304800" y="1323975"/>
          <a:ext cx="8353425" cy="1646302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lvl1pPr algn="r" defTabSz="457200" rtl="0" eaLnBrk="1" latinLnBrk="0" hangingPunct="1">
            <a:spcBef>
              <a:spcPct val="0"/>
            </a:spcBef>
            <a:buNone/>
            <a:defRPr sz="5400" kern="1200">
              <a:solidFill>
                <a:schemeClr val="accent1"/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r>
            <a:rPr lang="en-GB" sz="3200" kern="1200">
              <a:solidFill>
                <a:schemeClr val="tx1"/>
              </a:solidFill>
              <a:latin typeface="+mj-lt"/>
              <a:ea typeface="+mj-ea"/>
              <a:cs typeface="+mj-cs"/>
            </a:rPr>
            <a:t>BCA Green Mark for  Laboratories</a:t>
          </a:r>
          <a:endParaRPr lang="en-SG" sz="3200" kern="1200">
            <a:solidFill>
              <a:schemeClr val="tx1"/>
            </a:solidFill>
            <a:latin typeface="+mj-lt"/>
            <a:ea typeface="+mj-ea"/>
            <a:cs typeface="+mj-cs"/>
          </a:endParaRPr>
        </a:p>
      </xdr:txBody>
    </xdr:sp>
    <xdr:clientData/>
  </xdr:twoCellAnchor>
  <xdr:twoCellAnchor>
    <xdr:from>
      <xdr:col>1</xdr:col>
      <xdr:colOff>413898</xdr:colOff>
      <xdr:row>15</xdr:row>
      <xdr:rowOff>141349</xdr:rowOff>
    </xdr:from>
    <xdr:to>
      <xdr:col>3</xdr:col>
      <xdr:colOff>2046734</xdr:colOff>
      <xdr:row>22</xdr:row>
      <xdr:rowOff>95248</xdr:rowOff>
    </xdr:to>
    <xdr:sp macro="" textlink="">
      <xdr:nvSpPr>
        <xdr:cNvPr id="4" name="Subtit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Grp="1"/>
        </xdr:cNvSpPr>
      </xdr:nvSpPr>
      <xdr:spPr>
        <a:xfrm>
          <a:off x="899673" y="2998849"/>
          <a:ext cx="7766936" cy="1287399"/>
        </a:xfrm>
        <a:prstGeom prst="rect">
          <a:avLst/>
        </a:prstGeom>
      </xdr:spPr>
      <xdr:txBody>
        <a:bodyPr vert="horz" wrap="square" lIns="91440" tIns="45720" rIns="91440" bIns="45720" rtlCol="0" anchor="t">
          <a:normAutofit/>
        </a:bodyPr>
        <a:lstStyle>
          <a:lvl1pPr marL="0" indent="0" algn="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sz="1800" kern="12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sz="16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sz="1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457200" rtl="0" eaLnBrk="1" latinLnBrk="0" hangingPunct="1">
            <a:spcBef>
              <a:spcPts val="1000"/>
            </a:spcBef>
            <a:spcAft>
              <a:spcPts val="0"/>
            </a:spcAft>
            <a:buClr>
              <a:schemeClr val="accent1"/>
            </a:buClr>
            <a:buSzPct val="80000"/>
            <a:buFont typeface="Wingdings 3" charset="2"/>
            <a:buNone/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kern="1200">
              <a:solidFill>
                <a:schemeClr val="tx1"/>
              </a:solidFill>
              <a:latin typeface="+mj-lt"/>
              <a:ea typeface="+mn-ea"/>
              <a:cs typeface="+mn-cs"/>
            </a:rPr>
            <a:t>GM Lab: 2017</a:t>
          </a:r>
          <a:endParaRPr lang="en-GB" sz="3200">
            <a:solidFill>
              <a:schemeClr val="tx1"/>
            </a:solidFill>
            <a:latin typeface="+mj-lt"/>
          </a:endParaRPr>
        </a:p>
        <a:p>
          <a:r>
            <a:rPr lang="en-GB" sz="2800" b="1">
              <a:solidFill>
                <a:schemeClr val="tx1"/>
              </a:solidFill>
              <a:latin typeface="Calibri Light" panose="020F0302020204030204" pitchFamily="34" charset="0"/>
            </a:rPr>
            <a:t>GM Lab 2017 Score Card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87630</xdr:rowOff>
    </xdr:from>
    <xdr:to>
      <xdr:col>6</xdr:col>
      <xdr:colOff>556260</xdr:colOff>
      <xdr:row>23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180975</xdr:rowOff>
        </xdr:from>
        <xdr:to>
          <xdr:col>1</xdr:col>
          <xdr:colOff>466725</xdr:colOff>
          <xdr:row>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171450</xdr:rowOff>
        </xdr:from>
        <xdr:to>
          <xdr:col>1</xdr:col>
          <xdr:colOff>466725</xdr:colOff>
          <xdr:row>2</xdr:row>
          <xdr:rowOff>180975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CDSL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</xdr:row>
          <xdr:rowOff>0</xdr:rowOff>
        </xdr:from>
        <xdr:to>
          <xdr:col>1</xdr:col>
          <xdr:colOff>466725</xdr:colOff>
          <xdr:row>4</xdr:row>
          <xdr:rowOff>9525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_YockKeng/Documents/Yock%20Keng/Documents/Assessment/Criterias/GM%20Version%205.0/Calculator/Online/BCA_Energy_Performance_Points_Calculat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a.gov.sg/GreenMark/others/GM_Lab_2017_Score_C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Tracking"/>
      <sheetName val="Guidance Notes"/>
      <sheetName val="Notes for kWadj"/>
      <sheetName val="Building Data schedule"/>
      <sheetName val=" ACMV 2.01a"/>
      <sheetName val="Lighting Power Budget 2.01b"/>
      <sheetName val="Car Park 2.01c"/>
      <sheetName val="Receptacle Load 2.01d"/>
      <sheetName val="Building Energy 2.02a"/>
      <sheetName val="Renewable Energy 2.03c"/>
      <sheetName val="Mechanical Ventilation"/>
      <sheetName val="Vertical Transportation"/>
      <sheetName val="Hot Water"/>
      <sheetName val="Energy Efficient Features"/>
      <sheetName val="Service Equipment"/>
      <sheetName val="Heat Load calculation"/>
      <sheetName val="VRVVRFSplit System Tab"/>
      <sheetName val="AHU_FCU_PAU Working"/>
      <sheetName val="LOCKED SHEET"/>
    </sheetNames>
    <sheetDataSet>
      <sheetData sheetId="0"/>
      <sheetData sheetId="1"/>
      <sheetData sheetId="2"/>
      <sheetData sheetId="3">
        <row r="36">
          <cell r="G36" t="str">
            <v>Office</v>
          </cell>
          <cell r="H36">
            <v>72</v>
          </cell>
        </row>
        <row r="37">
          <cell r="G37" t="str">
            <v>Retail</v>
          </cell>
          <cell r="H37">
            <v>130</v>
          </cell>
        </row>
        <row r="38">
          <cell r="G38" t="str">
            <v>Hotel</v>
          </cell>
          <cell r="H38">
            <v>57</v>
          </cell>
        </row>
        <row r="39">
          <cell r="G39" t="str">
            <v>Industrial</v>
          </cell>
          <cell r="H39">
            <v>0</v>
          </cell>
        </row>
        <row r="40">
          <cell r="G40" t="str">
            <v>Education</v>
          </cell>
          <cell r="H40">
            <v>0</v>
          </cell>
        </row>
        <row r="41">
          <cell r="G41" t="str">
            <v>Healthcare</v>
          </cell>
          <cell r="H41" t="str">
            <v xml:space="preserve"> </v>
          </cell>
        </row>
        <row r="42">
          <cell r="G42" t="str">
            <v>Sports</v>
          </cell>
          <cell r="H42">
            <v>0</v>
          </cell>
        </row>
        <row r="43">
          <cell r="G43" t="str">
            <v>Other 1</v>
          </cell>
          <cell r="H43">
            <v>0</v>
          </cell>
        </row>
        <row r="44">
          <cell r="G44" t="str">
            <v>Other 2</v>
          </cell>
          <cell r="H44">
            <v>0</v>
          </cell>
        </row>
        <row r="45">
          <cell r="G45" t="str">
            <v>Other 3</v>
          </cell>
          <cell r="H45">
            <v>0</v>
          </cell>
        </row>
        <row r="46">
          <cell r="G46" t="str">
            <v>[Empty]</v>
          </cell>
          <cell r="H46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Tracking"/>
      <sheetName val="Cover Page"/>
      <sheetName val="Scoring"/>
    </sheetNames>
    <sheetDataSet>
      <sheetData sheetId="0">
        <row r="24">
          <cell r="C24" t="str">
            <v>Score Card_ GM_Lab_2017_R1.01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ca.gov.sg/GreenMark/others/GM_NRB_2015_Score_Card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4:G30"/>
  <sheetViews>
    <sheetView topLeftCell="A16" zoomScaleNormal="100" workbookViewId="0">
      <selection activeCell="C31" sqref="C31"/>
    </sheetView>
  </sheetViews>
  <sheetFormatPr defaultRowHeight="15" x14ac:dyDescent="0.25"/>
  <cols>
    <col min="1" max="1" width="7.28515625" style="132" customWidth="1"/>
    <col min="2" max="2" width="39.28515625" style="132" customWidth="1"/>
    <col min="3" max="3" width="52.7109375" style="132" customWidth="1"/>
    <col min="4" max="4" width="31.140625" style="132" customWidth="1"/>
    <col min="5" max="5" width="47.85546875" style="132" customWidth="1"/>
    <col min="6" max="16384" width="9.140625" style="132"/>
  </cols>
  <sheetData>
    <row r="24" spans="1:7" x14ac:dyDescent="0.25">
      <c r="B24" s="133" t="s">
        <v>345</v>
      </c>
      <c r="C24" s="141" t="s">
        <v>428</v>
      </c>
    </row>
    <row r="25" spans="1:7" x14ac:dyDescent="0.25">
      <c r="B25" s="132" t="str">
        <f>IFERROR(IF(C24='[2]Revision Tracking'!$C$24,"You are using the latest version of the score card","The latest version of the score card is available for download, pls download online"),"Please connect to internet")</f>
        <v>The latest version of the score card is available for download, pls download online</v>
      </c>
      <c r="D25" s="134" t="str">
        <f>IF(B25="The latest version of the score card is available for download, pls download online","Download here","")</f>
        <v>Download here</v>
      </c>
    </row>
    <row r="26" spans="1:7" ht="15.75" thickBot="1" x14ac:dyDescent="0.3">
      <c r="A26" s="135" t="s">
        <v>346</v>
      </c>
      <c r="B26" s="135"/>
    </row>
    <row r="27" spans="1:7" ht="15.75" thickBot="1" x14ac:dyDescent="0.3">
      <c r="A27" s="136" t="s">
        <v>347</v>
      </c>
      <c r="B27" s="137" t="s">
        <v>348</v>
      </c>
      <c r="C27" s="137" t="s">
        <v>349</v>
      </c>
      <c r="D27" s="137" t="s">
        <v>350</v>
      </c>
      <c r="E27" s="138"/>
    </row>
    <row r="28" spans="1:7" ht="15.75" thickBot="1" x14ac:dyDescent="0.3">
      <c r="A28" s="139">
        <v>1</v>
      </c>
      <c r="B28" s="142" t="s">
        <v>352</v>
      </c>
      <c r="C28" s="142" t="s">
        <v>353</v>
      </c>
      <c r="D28" s="140">
        <v>43458</v>
      </c>
    </row>
    <row r="29" spans="1:7" ht="15.75" thickBot="1" x14ac:dyDescent="0.3">
      <c r="A29" s="139">
        <v>2</v>
      </c>
      <c r="B29" s="142" t="s">
        <v>428</v>
      </c>
      <c r="C29" s="142" t="s">
        <v>429</v>
      </c>
      <c r="D29" s="140">
        <v>43997</v>
      </c>
    </row>
    <row r="30" spans="1:7" x14ac:dyDescent="0.25">
      <c r="G30" s="132" t="s">
        <v>351</v>
      </c>
    </row>
  </sheetData>
  <sheetProtection algorithmName="SHA-512" hashValue="2bfoWCbctW7QQGHVTqbECAm1js3VzY4mfZH+/s7MH3iGQdMTiKn333qB7MUuYtbi/j3NrMnwW0ajR1r8FBiMYA==" saltValue="3xGGqGeIu9QotO7F36rWwg==" spinCount="100000" sheet="1" formatCells="0"/>
  <dataConsolidate/>
  <hyperlinks>
    <hyperlink ref="D25" r:id="rId1" display="https://www.bca.gov.sg/GreenMark/others/GM_NRB_2015_Score_Card.xlsx" xr:uid="{00000000-0004-0000-0000-000000000000}"/>
  </hyperlinks>
  <pageMargins left="0.7" right="0.7" top="0.75" bottom="0.75" header="0.3" footer="0.3"/>
  <pageSetup paperSize="9" scale="6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7"/>
  <sheetViews>
    <sheetView topLeftCell="Q13" workbookViewId="0">
      <selection activeCell="Z23" sqref="Z23"/>
    </sheetView>
  </sheetViews>
  <sheetFormatPr defaultRowHeight="15" x14ac:dyDescent="0.25"/>
  <cols>
    <col min="1" max="1" width="4.28515625" hidden="1" customWidth="1"/>
    <col min="2" max="2" width="16.7109375" hidden="1" customWidth="1"/>
    <col min="3" max="3" width="1.5703125" hidden="1" customWidth="1"/>
    <col min="4" max="4" width="14.7109375" hidden="1" customWidth="1"/>
    <col min="5" max="10" width="10.28515625" hidden="1" customWidth="1"/>
    <col min="11" max="11" width="9.140625" hidden="1" customWidth="1"/>
    <col min="12" max="12" width="11.42578125" hidden="1" customWidth="1"/>
    <col min="13" max="14" width="9.140625" hidden="1" customWidth="1"/>
    <col min="15" max="16" width="11.140625" hidden="1" customWidth="1"/>
    <col min="18" max="24" width="8.85546875" style="39"/>
    <col min="25" max="25" width="14" style="39" bestFit="1" customWidth="1"/>
    <col min="26" max="26" width="11.28515625" style="39" bestFit="1" customWidth="1"/>
    <col min="28" max="29" width="8.85546875" customWidth="1"/>
  </cols>
  <sheetData>
    <row r="1" spans="2:26" x14ac:dyDescent="0.25">
      <c r="B1" s="39"/>
      <c r="C1" s="39"/>
      <c r="D1" s="39"/>
      <c r="E1" s="39"/>
      <c r="F1" s="39"/>
      <c r="G1" s="39"/>
      <c r="H1" s="39"/>
      <c r="I1" s="39"/>
      <c r="J1" s="39"/>
      <c r="R1" s="226" t="s">
        <v>59</v>
      </c>
      <c r="S1" s="226"/>
      <c r="T1" s="226"/>
      <c r="U1" s="226"/>
      <c r="V1" s="226"/>
      <c r="W1" s="226"/>
      <c r="X1" s="226"/>
      <c r="Y1" s="226"/>
      <c r="Z1" s="226"/>
    </row>
    <row r="2" spans="2:26" x14ac:dyDescent="0.25">
      <c r="B2" s="39"/>
      <c r="C2" s="39"/>
      <c r="D2" s="39"/>
      <c r="E2" s="39"/>
      <c r="F2" s="39"/>
      <c r="G2" s="39"/>
      <c r="H2" s="39"/>
      <c r="I2" s="39"/>
      <c r="J2" s="39"/>
      <c r="L2" t="s">
        <v>22</v>
      </c>
      <c r="M2" t="s">
        <v>17</v>
      </c>
      <c r="O2" t="s">
        <v>23</v>
      </c>
      <c r="R2" s="230" t="s">
        <v>306</v>
      </c>
      <c r="S2" s="231"/>
      <c r="T2" s="227"/>
      <c r="U2" s="228"/>
      <c r="V2" s="228"/>
      <c r="W2" s="229"/>
      <c r="X2" s="230" t="s">
        <v>307</v>
      </c>
      <c r="Y2" s="231"/>
      <c r="Z2" s="61"/>
    </row>
    <row r="3" spans="2:26" ht="15.6" customHeight="1" x14ac:dyDescent="0.25">
      <c r="B3" s="39"/>
      <c r="C3" s="39"/>
      <c r="D3" s="40" t="s">
        <v>7</v>
      </c>
      <c r="E3" s="39"/>
      <c r="F3" s="39"/>
      <c r="G3" s="39"/>
      <c r="H3" s="39"/>
      <c r="I3" s="39"/>
      <c r="J3" s="39"/>
      <c r="L3" s="1" t="s">
        <v>18</v>
      </c>
      <c r="M3" t="s">
        <v>18</v>
      </c>
      <c r="O3" t="s">
        <v>24</v>
      </c>
      <c r="R3" s="45" t="s">
        <v>308</v>
      </c>
      <c r="S3" s="46"/>
      <c r="T3" s="227"/>
      <c r="U3" s="228"/>
      <c r="V3" s="228"/>
      <c r="W3" s="228"/>
      <c r="X3" s="228"/>
      <c r="Y3" s="228"/>
      <c r="Z3" s="229"/>
    </row>
    <row r="4" spans="2:26" x14ac:dyDescent="0.25">
      <c r="B4" s="38" t="s">
        <v>0</v>
      </c>
      <c r="C4" s="38" t="s">
        <v>1</v>
      </c>
      <c r="D4" s="38" t="s">
        <v>3</v>
      </c>
      <c r="E4" s="39"/>
      <c r="F4" s="39"/>
      <c r="G4" s="39"/>
      <c r="H4" s="39"/>
      <c r="I4" s="39"/>
      <c r="J4" s="62">
        <v>42946</v>
      </c>
      <c r="L4" s="1" t="s">
        <v>20</v>
      </c>
      <c r="O4" t="s">
        <v>25</v>
      </c>
      <c r="R4" s="182" t="s">
        <v>63</v>
      </c>
      <c r="S4" s="182"/>
      <c r="T4" s="182"/>
      <c r="U4" s="182"/>
      <c r="V4" s="182"/>
      <c r="W4" s="182"/>
      <c r="X4" s="182"/>
      <c r="Y4" s="41" t="s">
        <v>65</v>
      </c>
      <c r="Z4" s="41" t="s">
        <v>66</v>
      </c>
    </row>
    <row r="5" spans="2:26" x14ac:dyDescent="0.25">
      <c r="B5" s="38" t="s">
        <v>2</v>
      </c>
      <c r="C5" s="38" t="s">
        <v>1</v>
      </c>
      <c r="D5" s="38" t="s">
        <v>4</v>
      </c>
      <c r="E5" s="39"/>
      <c r="F5" s="39"/>
      <c r="G5" s="39"/>
      <c r="H5" s="39"/>
      <c r="I5" s="39"/>
      <c r="J5" s="39"/>
      <c r="L5" s="1" t="s">
        <v>29</v>
      </c>
      <c r="M5" t="s">
        <v>19</v>
      </c>
      <c r="O5" t="s">
        <v>26</v>
      </c>
      <c r="R5" s="47" t="s">
        <v>64</v>
      </c>
      <c r="S5" s="48"/>
      <c r="T5" s="49"/>
      <c r="U5" s="49"/>
      <c r="V5" s="49"/>
      <c r="W5" s="49"/>
      <c r="X5" s="50"/>
      <c r="Y5" s="47">
        <v>25</v>
      </c>
      <c r="Z5" s="47">
        <f>Z6+Z8+Z13</f>
        <v>0</v>
      </c>
    </row>
    <row r="6" spans="2:26" x14ac:dyDescent="0.25">
      <c r="B6" s="39" t="s">
        <v>5</v>
      </c>
      <c r="C6" s="39" t="s">
        <v>1</v>
      </c>
      <c r="D6" s="39" t="s">
        <v>6</v>
      </c>
      <c r="E6" s="39"/>
      <c r="F6" s="39"/>
      <c r="G6" s="39"/>
      <c r="H6" s="39"/>
      <c r="I6" s="39"/>
      <c r="J6" s="39"/>
      <c r="L6" s="1" t="s">
        <v>44</v>
      </c>
      <c r="M6" t="s">
        <v>20</v>
      </c>
      <c r="O6" t="s">
        <v>27</v>
      </c>
      <c r="R6" s="51">
        <v>1.1000000000000001</v>
      </c>
      <c r="S6" s="184" t="s">
        <v>67</v>
      </c>
      <c r="T6" s="184"/>
      <c r="U6" s="184"/>
      <c r="V6" s="184"/>
      <c r="W6" s="184"/>
      <c r="X6" s="184"/>
      <c r="Y6" s="52">
        <v>3</v>
      </c>
      <c r="Z6" s="52">
        <f>Z7</f>
        <v>0</v>
      </c>
    </row>
    <row r="7" spans="2:26" x14ac:dyDescent="0.25">
      <c r="B7" s="39"/>
      <c r="C7" s="39"/>
      <c r="D7" s="39"/>
      <c r="E7" s="39"/>
      <c r="F7" s="39"/>
      <c r="G7" s="39"/>
      <c r="H7" s="39"/>
      <c r="I7" s="39"/>
      <c r="J7" s="39"/>
      <c r="M7" t="s">
        <v>21</v>
      </c>
      <c r="O7" t="s">
        <v>28</v>
      </c>
      <c r="R7" s="53" t="s">
        <v>61</v>
      </c>
      <c r="S7" s="185" t="s">
        <v>62</v>
      </c>
      <c r="T7" s="185"/>
      <c r="U7" s="185"/>
      <c r="V7" s="185"/>
      <c r="W7" s="185"/>
      <c r="X7" s="185"/>
      <c r="Y7" s="41">
        <v>3</v>
      </c>
      <c r="Z7" s="41">
        <f>SUM(Scoring!F4:F6)</f>
        <v>0</v>
      </c>
    </row>
    <row r="8" spans="2:26" x14ac:dyDescent="0.25">
      <c r="B8" s="183" t="s">
        <v>8</v>
      </c>
      <c r="C8" s="183"/>
      <c r="D8" s="233"/>
      <c r="E8" s="233"/>
      <c r="F8" s="233"/>
      <c r="G8" s="233"/>
      <c r="H8" s="233"/>
      <c r="I8" s="233"/>
      <c r="J8" s="233"/>
      <c r="O8" t="s">
        <v>29</v>
      </c>
      <c r="R8" s="51">
        <v>1.2</v>
      </c>
      <c r="S8" s="184" t="s">
        <v>68</v>
      </c>
      <c r="T8" s="184"/>
      <c r="U8" s="184"/>
      <c r="V8" s="184"/>
      <c r="W8" s="184"/>
      <c r="X8" s="184"/>
      <c r="Y8" s="52">
        <v>18</v>
      </c>
      <c r="Z8" s="52">
        <f>SUM(Z9:Z12)</f>
        <v>0</v>
      </c>
    </row>
    <row r="9" spans="2:26" x14ac:dyDescent="0.25">
      <c r="B9" s="183" t="s">
        <v>9</v>
      </c>
      <c r="C9" s="183"/>
      <c r="D9" s="233" t="s">
        <v>314</v>
      </c>
      <c r="E9" s="233"/>
      <c r="F9" s="233"/>
      <c r="G9" s="233"/>
      <c r="H9" s="233"/>
      <c r="I9" s="233"/>
      <c r="J9" s="233"/>
      <c r="M9" t="s">
        <v>15</v>
      </c>
      <c r="O9" t="s">
        <v>30</v>
      </c>
      <c r="R9" s="53" t="s">
        <v>69</v>
      </c>
      <c r="S9" s="185" t="s">
        <v>70</v>
      </c>
      <c r="T9" s="185"/>
      <c r="U9" s="185"/>
      <c r="V9" s="185"/>
      <c r="W9" s="185"/>
      <c r="X9" s="185"/>
      <c r="Y9" s="41">
        <v>3</v>
      </c>
      <c r="Z9" s="41">
        <f>SUM(Scoring!F8:F10)</f>
        <v>0</v>
      </c>
    </row>
    <row r="10" spans="2:26" x14ac:dyDescent="0.25">
      <c r="B10" s="183" t="s">
        <v>10</v>
      </c>
      <c r="C10" s="183"/>
      <c r="D10" s="234"/>
      <c r="E10" s="234"/>
      <c r="F10" s="234"/>
      <c r="G10" s="234"/>
      <c r="H10" s="234"/>
      <c r="I10" s="234"/>
      <c r="J10" s="234"/>
      <c r="M10" t="s">
        <v>16</v>
      </c>
      <c r="O10" t="s">
        <v>31</v>
      </c>
      <c r="R10" s="53" t="s">
        <v>72</v>
      </c>
      <c r="S10" s="185" t="s">
        <v>71</v>
      </c>
      <c r="T10" s="185"/>
      <c r="U10" s="185"/>
      <c r="V10" s="185"/>
      <c r="W10" s="185"/>
      <c r="X10" s="185"/>
      <c r="Y10" s="41">
        <v>6</v>
      </c>
      <c r="Z10" s="41">
        <f>SUM(Scoring!F11:F13)</f>
        <v>0</v>
      </c>
    </row>
    <row r="11" spans="2:26" x14ac:dyDescent="0.25">
      <c r="B11" s="183" t="s">
        <v>11</v>
      </c>
      <c r="C11" s="183"/>
      <c r="D11" s="225" t="s">
        <v>315</v>
      </c>
      <c r="E11" s="225"/>
      <c r="F11" s="225"/>
      <c r="G11" s="225"/>
      <c r="H11" s="225"/>
      <c r="I11" s="225"/>
      <c r="J11" s="225"/>
      <c r="O11" t="s">
        <v>32</v>
      </c>
      <c r="R11" s="53" t="s">
        <v>73</v>
      </c>
      <c r="S11" s="185" t="s">
        <v>76</v>
      </c>
      <c r="T11" s="185"/>
      <c r="U11" s="185"/>
      <c r="V11" s="185"/>
      <c r="W11" s="185"/>
      <c r="X11" s="185"/>
      <c r="Y11" s="41">
        <v>6</v>
      </c>
      <c r="Z11" s="41">
        <f>SUM(Scoring!F14:F16)</f>
        <v>0</v>
      </c>
    </row>
    <row r="12" spans="2:26" x14ac:dyDescent="0.25">
      <c r="B12" s="183" t="s">
        <v>12</v>
      </c>
      <c r="C12" s="183"/>
      <c r="D12" s="225" t="str">
        <f>CONCATENATE(L3," ",L4," Laboratory")</f>
        <v>Existing Chemical Laboratory</v>
      </c>
      <c r="E12" s="225"/>
      <c r="F12" s="225"/>
      <c r="G12" s="225"/>
      <c r="H12" s="225"/>
      <c r="I12" s="225"/>
      <c r="J12" s="225"/>
      <c r="M12" t="s">
        <v>43</v>
      </c>
      <c r="R12" s="53" t="s">
        <v>74</v>
      </c>
      <c r="S12" s="185" t="s">
        <v>75</v>
      </c>
      <c r="T12" s="185"/>
      <c r="U12" s="185"/>
      <c r="V12" s="185"/>
      <c r="W12" s="185"/>
      <c r="X12" s="185"/>
      <c r="Y12" s="41">
        <v>3</v>
      </c>
      <c r="Z12" s="41">
        <f>SUM(Scoring!F17:F19)</f>
        <v>0</v>
      </c>
    </row>
    <row r="13" spans="2:26" x14ac:dyDescent="0.25">
      <c r="B13" s="183"/>
      <c r="C13" s="183"/>
      <c r="D13" s="225" t="s">
        <v>24</v>
      </c>
      <c r="E13" s="225"/>
      <c r="F13" s="225"/>
      <c r="G13" s="225"/>
      <c r="H13" s="225"/>
      <c r="I13" s="225"/>
      <c r="J13" s="225"/>
      <c r="M13" t="s">
        <v>301</v>
      </c>
      <c r="R13" s="51">
        <v>1.3</v>
      </c>
      <c r="S13" s="184" t="s">
        <v>77</v>
      </c>
      <c r="T13" s="184"/>
      <c r="U13" s="184"/>
      <c r="V13" s="184"/>
      <c r="W13" s="184"/>
      <c r="X13" s="184"/>
      <c r="Y13" s="52">
        <v>4</v>
      </c>
      <c r="Z13" s="52">
        <f>SUM(Z14:Z15)</f>
        <v>0</v>
      </c>
    </row>
    <row r="14" spans="2:26" x14ac:dyDescent="0.25">
      <c r="B14" s="183" t="s">
        <v>13</v>
      </c>
      <c r="C14" s="183"/>
      <c r="D14" s="225" t="s">
        <v>58</v>
      </c>
      <c r="E14" s="225"/>
      <c r="F14" s="225"/>
      <c r="G14" s="225"/>
      <c r="H14" s="225"/>
      <c r="I14" s="225"/>
      <c r="J14" s="225"/>
      <c r="M14" t="s">
        <v>44</v>
      </c>
      <c r="R14" s="54" t="s">
        <v>78</v>
      </c>
      <c r="S14" s="185" t="s">
        <v>80</v>
      </c>
      <c r="T14" s="185"/>
      <c r="U14" s="185"/>
      <c r="V14" s="185"/>
      <c r="W14" s="185"/>
      <c r="X14" s="185"/>
      <c r="Y14" s="55">
        <v>2</v>
      </c>
      <c r="Z14" s="41">
        <f>SUM(Scoring!F21:F23)</f>
        <v>0</v>
      </c>
    </row>
    <row r="15" spans="2:26" x14ac:dyDescent="0.25">
      <c r="B15" s="183" t="s">
        <v>14</v>
      </c>
      <c r="C15" s="183"/>
      <c r="D15" s="185" t="s">
        <v>15</v>
      </c>
      <c r="E15" s="185"/>
      <c r="F15" s="185"/>
      <c r="G15" s="185"/>
      <c r="H15" s="185"/>
      <c r="I15" s="185"/>
      <c r="J15" s="185"/>
      <c r="L15" s="232" t="s">
        <v>39</v>
      </c>
      <c r="M15" s="232"/>
      <c r="N15" s="232"/>
      <c r="O15" s="1" t="s">
        <v>38</v>
      </c>
      <c r="P15" s="1" t="s">
        <v>299</v>
      </c>
      <c r="R15" s="54" t="s">
        <v>79</v>
      </c>
      <c r="S15" s="185" t="s">
        <v>81</v>
      </c>
      <c r="T15" s="185"/>
      <c r="U15" s="185"/>
      <c r="V15" s="185"/>
      <c r="W15" s="185"/>
      <c r="X15" s="185"/>
      <c r="Y15" s="55">
        <v>2</v>
      </c>
      <c r="Z15" s="41">
        <f>SUM(Scoring!F24:F25)</f>
        <v>0</v>
      </c>
    </row>
    <row r="16" spans="2:26" x14ac:dyDescent="0.25">
      <c r="B16" s="39"/>
      <c r="C16" s="39"/>
      <c r="D16" s="39"/>
      <c r="E16" s="39"/>
      <c r="F16" s="39"/>
      <c r="G16" s="39"/>
      <c r="H16" s="39"/>
      <c r="I16" s="39"/>
      <c r="J16" s="39"/>
      <c r="L16" s="224" t="s">
        <v>37</v>
      </c>
      <c r="M16" s="224"/>
      <c r="N16" s="224"/>
      <c r="O16">
        <f>Z54</f>
        <v>0</v>
      </c>
      <c r="P16">
        <v>5</v>
      </c>
      <c r="R16" s="191" t="s">
        <v>82</v>
      </c>
      <c r="S16" s="191"/>
      <c r="T16" s="191"/>
      <c r="U16" s="191"/>
      <c r="V16" s="191"/>
      <c r="W16" s="191"/>
      <c r="X16" s="191"/>
      <c r="Y16" s="56" t="s">
        <v>84</v>
      </c>
      <c r="Z16" s="56">
        <f>Z17+Z23</f>
        <v>1</v>
      </c>
    </row>
    <row r="17" spans="2:26" x14ac:dyDescent="0.25">
      <c r="B17" s="39"/>
      <c r="C17" s="39"/>
      <c r="D17" s="39"/>
      <c r="E17" s="39"/>
      <c r="F17" s="39"/>
      <c r="G17" s="39"/>
      <c r="H17" s="189" t="s">
        <v>303</v>
      </c>
      <c r="I17" s="189"/>
      <c r="J17" s="189"/>
      <c r="L17" s="224" t="s">
        <v>36</v>
      </c>
      <c r="M17" s="224"/>
      <c r="N17" s="224"/>
      <c r="O17">
        <f>Z42</f>
        <v>0</v>
      </c>
      <c r="P17">
        <v>20</v>
      </c>
      <c r="R17" s="51">
        <v>2.1</v>
      </c>
      <c r="S17" s="184" t="s">
        <v>83</v>
      </c>
      <c r="T17" s="184"/>
      <c r="U17" s="184"/>
      <c r="V17" s="184"/>
      <c r="W17" s="184"/>
      <c r="X17" s="184"/>
      <c r="Y17" s="57" t="s">
        <v>89</v>
      </c>
      <c r="Z17" s="52">
        <f>SUM(Z18:Z22)</f>
        <v>0</v>
      </c>
    </row>
    <row r="18" spans="2:26" x14ac:dyDescent="0.25">
      <c r="B18" s="39"/>
      <c r="C18" s="39"/>
      <c r="D18" s="39"/>
      <c r="E18" s="39"/>
      <c r="F18" s="39"/>
      <c r="G18" s="39"/>
      <c r="H18" s="185" t="s">
        <v>305</v>
      </c>
      <c r="I18" s="185"/>
      <c r="J18" s="55">
        <f>'Additional Info'!C9</f>
        <v>0</v>
      </c>
      <c r="L18" s="224" t="s">
        <v>35</v>
      </c>
      <c r="M18" s="224"/>
      <c r="N18" s="224"/>
      <c r="O18">
        <f>Z30</f>
        <v>0</v>
      </c>
      <c r="P18">
        <v>20</v>
      </c>
      <c r="R18" s="222" t="s">
        <v>85</v>
      </c>
      <c r="S18" s="185" t="s">
        <v>86</v>
      </c>
      <c r="T18" s="185"/>
      <c r="U18" s="185"/>
      <c r="V18" s="185"/>
      <c r="W18" s="185"/>
      <c r="X18" s="185"/>
      <c r="Y18" s="58">
        <v>8</v>
      </c>
      <c r="Z18" s="41">
        <f>SUM(Scoring!F28)</f>
        <v>0</v>
      </c>
    </row>
    <row r="19" spans="2:26" x14ac:dyDescent="0.25">
      <c r="B19" s="39"/>
      <c r="C19" s="39"/>
      <c r="D19" s="39"/>
      <c r="E19" s="39"/>
      <c r="F19" s="39"/>
      <c r="G19" s="39"/>
      <c r="H19" s="185" t="s">
        <v>304</v>
      </c>
      <c r="I19" s="185"/>
      <c r="J19" s="55">
        <f>'Additional Info'!C5</f>
        <v>0</v>
      </c>
      <c r="L19" s="224" t="s">
        <v>34</v>
      </c>
      <c r="M19" s="224"/>
      <c r="N19" s="224"/>
      <c r="O19">
        <f>Z16</f>
        <v>1</v>
      </c>
      <c r="P19">
        <v>20</v>
      </c>
      <c r="R19" s="222"/>
      <c r="S19" s="219" t="s">
        <v>87</v>
      </c>
      <c r="T19" s="220"/>
      <c r="U19" s="220"/>
      <c r="V19" s="220"/>
      <c r="W19" s="220"/>
      <c r="X19" s="221"/>
      <c r="Y19" s="59" t="s">
        <v>88</v>
      </c>
      <c r="Z19" s="60"/>
    </row>
    <row r="20" spans="2:26" x14ac:dyDescent="0.25">
      <c r="B20" s="39"/>
      <c r="C20" s="39"/>
      <c r="D20" s="39"/>
      <c r="E20" s="39"/>
      <c r="F20" s="39"/>
      <c r="G20" s="39"/>
      <c r="H20" s="39"/>
      <c r="I20" s="39"/>
      <c r="J20" s="39"/>
      <c r="L20" s="224" t="s">
        <v>33</v>
      </c>
      <c r="M20" s="224"/>
      <c r="N20" s="224"/>
      <c r="O20">
        <f>Z5</f>
        <v>0</v>
      </c>
      <c r="P20">
        <v>20</v>
      </c>
      <c r="R20" s="54" t="s">
        <v>92</v>
      </c>
      <c r="S20" s="185" t="s">
        <v>293</v>
      </c>
      <c r="T20" s="185"/>
      <c r="U20" s="185"/>
      <c r="V20" s="185"/>
      <c r="W20" s="185"/>
      <c r="X20" s="185"/>
      <c r="Y20" s="41">
        <v>6</v>
      </c>
      <c r="Z20" s="41">
        <f>SUM(Scoring!F31:F36)</f>
        <v>0</v>
      </c>
    </row>
    <row r="21" spans="2:26" x14ac:dyDescent="0.25">
      <c r="B21" s="39"/>
      <c r="C21" s="39"/>
      <c r="D21" s="39"/>
      <c r="E21" s="39"/>
      <c r="F21" s="39"/>
      <c r="G21" s="39"/>
      <c r="H21" s="39"/>
      <c r="I21" s="39"/>
      <c r="J21" s="39"/>
      <c r="R21" s="222" t="s">
        <v>93</v>
      </c>
      <c r="S21" s="185" t="s">
        <v>90</v>
      </c>
      <c r="T21" s="185"/>
      <c r="U21" s="185"/>
      <c r="V21" s="185"/>
      <c r="W21" s="185"/>
      <c r="X21" s="185"/>
      <c r="Y21" s="41">
        <v>6</v>
      </c>
      <c r="Z21" s="41">
        <f>SUM(Scoring!F37)</f>
        <v>0</v>
      </c>
    </row>
    <row r="22" spans="2:26" x14ac:dyDescent="0.25">
      <c r="B22" s="39"/>
      <c r="C22" s="39"/>
      <c r="D22" s="39"/>
      <c r="E22" s="39"/>
      <c r="F22" s="39"/>
      <c r="G22" s="39"/>
      <c r="H22" s="39"/>
      <c r="I22" s="39"/>
      <c r="J22" s="39"/>
      <c r="R22" s="222"/>
      <c r="S22" s="219" t="s">
        <v>91</v>
      </c>
      <c r="T22" s="220"/>
      <c r="U22" s="220"/>
      <c r="V22" s="220"/>
      <c r="W22" s="220"/>
      <c r="X22" s="221"/>
      <c r="Y22" s="59" t="s">
        <v>88</v>
      </c>
      <c r="Z22" s="60"/>
    </row>
    <row r="23" spans="2:26" x14ac:dyDescent="0.25">
      <c r="B23" s="39"/>
      <c r="C23" s="39"/>
      <c r="D23" s="39"/>
      <c r="E23" s="39"/>
      <c r="F23" s="39"/>
      <c r="G23" s="39"/>
      <c r="H23" s="39"/>
      <c r="I23" s="39"/>
      <c r="J23" s="39"/>
      <c r="R23" s="51">
        <v>2.2000000000000002</v>
      </c>
      <c r="S23" s="184" t="s">
        <v>94</v>
      </c>
      <c r="T23" s="184"/>
      <c r="U23" s="184"/>
      <c r="V23" s="184"/>
      <c r="W23" s="184"/>
      <c r="X23" s="184"/>
      <c r="Y23" s="57" t="s">
        <v>105</v>
      </c>
      <c r="Z23" s="52">
        <f>SUM(Z24:Z29)</f>
        <v>1</v>
      </c>
    </row>
    <row r="24" spans="2:26" x14ac:dyDescent="0.25">
      <c r="B24" s="39"/>
      <c r="C24" s="39"/>
      <c r="D24" s="39"/>
      <c r="E24" s="39"/>
      <c r="F24" s="39"/>
      <c r="G24" s="39"/>
      <c r="H24" s="39"/>
      <c r="I24" s="39"/>
      <c r="J24" s="39"/>
      <c r="R24" s="53" t="s">
        <v>97</v>
      </c>
      <c r="S24" s="185" t="s">
        <v>95</v>
      </c>
      <c r="T24" s="185"/>
      <c r="U24" s="185"/>
      <c r="V24" s="185"/>
      <c r="W24" s="185"/>
      <c r="X24" s="185"/>
      <c r="Y24" s="41">
        <v>1</v>
      </c>
      <c r="Z24" s="41">
        <f>SUM(Scoring!F38)</f>
        <v>0</v>
      </c>
    </row>
    <row r="25" spans="2:26" x14ac:dyDescent="0.25">
      <c r="B25" s="39" t="s">
        <v>40</v>
      </c>
      <c r="C25" s="39"/>
      <c r="D25" s="39"/>
      <c r="E25" s="39"/>
      <c r="F25" s="39"/>
      <c r="G25" s="39"/>
      <c r="H25" s="39"/>
      <c r="I25" s="39"/>
      <c r="J25" s="39"/>
      <c r="R25" s="53" t="s">
        <v>98</v>
      </c>
      <c r="S25" s="185" t="s">
        <v>294</v>
      </c>
      <c r="T25" s="185"/>
      <c r="U25" s="185"/>
      <c r="V25" s="185"/>
      <c r="W25" s="185"/>
      <c r="X25" s="185"/>
      <c r="Y25" s="41">
        <v>4</v>
      </c>
      <c r="Z25" s="41">
        <f>SUM(Scoring!F39:F41)</f>
        <v>0</v>
      </c>
    </row>
    <row r="26" spans="2:26" ht="18" x14ac:dyDescent="0.25">
      <c r="B26" s="2" t="s">
        <v>41</v>
      </c>
      <c r="C26" s="39" t="str">
        <f>CONCATENATE("Recommended for ",L6," Award")</f>
        <v>Recommended for Gold Award</v>
      </c>
      <c r="D26" s="39"/>
      <c r="E26" s="39"/>
      <c r="F26" s="39"/>
      <c r="G26" s="39"/>
      <c r="H26" s="39"/>
      <c r="I26" s="39"/>
      <c r="J26" s="39"/>
      <c r="R26" s="223" t="s">
        <v>99</v>
      </c>
      <c r="S26" s="185" t="s">
        <v>96</v>
      </c>
      <c r="T26" s="185"/>
      <c r="U26" s="185"/>
      <c r="V26" s="185"/>
      <c r="W26" s="185"/>
      <c r="X26" s="185"/>
      <c r="Y26" s="41">
        <v>4</v>
      </c>
      <c r="Z26" s="41">
        <f>SUM(Scoring!F42:F45)</f>
        <v>0</v>
      </c>
    </row>
    <row r="27" spans="2:26" ht="18" x14ac:dyDescent="0.25">
      <c r="B27" s="2" t="s">
        <v>42</v>
      </c>
      <c r="C27" s="39" t="s">
        <v>45</v>
      </c>
      <c r="D27" s="39"/>
      <c r="E27" s="39"/>
      <c r="F27" s="39"/>
      <c r="G27" s="39"/>
      <c r="H27" s="39"/>
      <c r="I27" s="39"/>
      <c r="J27" s="39"/>
      <c r="R27" s="223"/>
      <c r="S27" s="219" t="s">
        <v>91</v>
      </c>
      <c r="T27" s="220"/>
      <c r="U27" s="220"/>
      <c r="V27" s="220"/>
      <c r="W27" s="220"/>
      <c r="X27" s="221"/>
      <c r="Y27" s="59" t="s">
        <v>104</v>
      </c>
      <c r="Z27" s="59"/>
    </row>
    <row r="28" spans="2:26" x14ac:dyDescent="0.25">
      <c r="B28" s="39"/>
      <c r="C28" s="39"/>
      <c r="D28" s="39"/>
      <c r="E28" s="39"/>
      <c r="F28" s="39"/>
      <c r="G28" s="39"/>
      <c r="H28" s="39"/>
      <c r="I28" s="39"/>
      <c r="J28" s="39"/>
      <c r="R28" s="54" t="s">
        <v>100</v>
      </c>
      <c r="S28" s="185" t="s">
        <v>102</v>
      </c>
      <c r="T28" s="185"/>
      <c r="U28" s="185"/>
      <c r="V28" s="185"/>
      <c r="W28" s="185"/>
      <c r="X28" s="185"/>
      <c r="Y28" s="41">
        <v>2</v>
      </c>
      <c r="Z28" s="41">
        <f>SUM(Scoring!F46:F47)</f>
        <v>0</v>
      </c>
    </row>
    <row r="29" spans="2:26" ht="14.45" customHeight="1" x14ac:dyDescent="0.25">
      <c r="B29" s="39" t="s">
        <v>313</v>
      </c>
      <c r="C29" s="39"/>
      <c r="D29" s="39"/>
      <c r="E29" s="39"/>
      <c r="F29" s="39"/>
      <c r="G29" s="39"/>
      <c r="H29" s="39"/>
      <c r="I29" s="39"/>
      <c r="J29" s="39"/>
      <c r="R29" s="54" t="s">
        <v>101</v>
      </c>
      <c r="S29" s="219" t="s">
        <v>103</v>
      </c>
      <c r="T29" s="220"/>
      <c r="U29" s="220"/>
      <c r="V29" s="220"/>
      <c r="W29" s="220"/>
      <c r="X29" s="221"/>
      <c r="Y29" s="41">
        <v>4</v>
      </c>
      <c r="Z29" s="41">
        <f>SUM(Scoring!F48)</f>
        <v>1</v>
      </c>
    </row>
    <row r="30" spans="2:26" x14ac:dyDescent="0.25">
      <c r="B30" s="43" t="s">
        <v>46</v>
      </c>
      <c r="C30" s="190" t="s">
        <v>317</v>
      </c>
      <c r="D30" s="190"/>
      <c r="E30" s="190"/>
      <c r="F30" s="190"/>
      <c r="G30" s="190"/>
      <c r="H30" s="190"/>
      <c r="I30" s="190"/>
      <c r="J30" s="190"/>
      <c r="R30" s="191" t="s">
        <v>106</v>
      </c>
      <c r="S30" s="191"/>
      <c r="T30" s="191"/>
      <c r="U30" s="191"/>
      <c r="V30" s="191"/>
      <c r="W30" s="191"/>
      <c r="X30" s="191"/>
      <c r="Y30" s="56">
        <v>25</v>
      </c>
      <c r="Z30" s="56">
        <f>Z31+Z36+Z40</f>
        <v>0</v>
      </c>
    </row>
    <row r="31" spans="2:26" ht="14.45" customHeight="1" x14ac:dyDescent="0.25">
      <c r="B31" s="43"/>
      <c r="C31" s="190"/>
      <c r="D31" s="190"/>
      <c r="E31" s="190"/>
      <c r="F31" s="190"/>
      <c r="G31" s="190"/>
      <c r="H31" s="190"/>
      <c r="I31" s="190"/>
      <c r="J31" s="190"/>
      <c r="R31" s="51">
        <v>3.1</v>
      </c>
      <c r="S31" s="184" t="s">
        <v>107</v>
      </c>
      <c r="T31" s="184"/>
      <c r="U31" s="184"/>
      <c r="V31" s="184"/>
      <c r="W31" s="184"/>
      <c r="X31" s="184"/>
      <c r="Y31" s="57">
        <v>8</v>
      </c>
      <c r="Z31" s="52">
        <f>SUM(Z32:Z35)</f>
        <v>0</v>
      </c>
    </row>
    <row r="32" spans="2:26" x14ac:dyDescent="0.25">
      <c r="B32" s="39"/>
      <c r="C32" s="190"/>
      <c r="D32" s="190"/>
      <c r="E32" s="190"/>
      <c r="F32" s="190"/>
      <c r="G32" s="190"/>
      <c r="H32" s="190"/>
      <c r="I32" s="190"/>
      <c r="J32" s="190"/>
      <c r="R32" s="54" t="s">
        <v>108</v>
      </c>
      <c r="S32" s="185" t="s">
        <v>112</v>
      </c>
      <c r="T32" s="185"/>
      <c r="U32" s="185"/>
      <c r="V32" s="185"/>
      <c r="W32" s="185"/>
      <c r="X32" s="185"/>
      <c r="Y32" s="58">
        <v>5</v>
      </c>
      <c r="Z32" s="41">
        <f>SUM(Scoring!F53:F55)</f>
        <v>0</v>
      </c>
    </row>
    <row r="33" spans="2:26" x14ac:dyDescent="0.25">
      <c r="B33" s="39"/>
      <c r="C33" s="190"/>
      <c r="D33" s="190"/>
      <c r="E33" s="190"/>
      <c r="F33" s="190"/>
      <c r="G33" s="190"/>
      <c r="H33" s="190"/>
      <c r="I33" s="190"/>
      <c r="J33" s="190"/>
      <c r="R33" s="54" t="s">
        <v>109</v>
      </c>
      <c r="S33" s="185" t="s">
        <v>113</v>
      </c>
      <c r="T33" s="185"/>
      <c r="U33" s="185"/>
      <c r="V33" s="185"/>
      <c r="W33" s="185"/>
      <c r="X33" s="185"/>
      <c r="Y33" s="58">
        <v>1</v>
      </c>
      <c r="Z33" s="41">
        <f>SUM(Scoring!F56)</f>
        <v>0</v>
      </c>
    </row>
    <row r="34" spans="2:26" x14ac:dyDescent="0.25">
      <c r="B34" s="39"/>
      <c r="C34" s="190"/>
      <c r="D34" s="190"/>
      <c r="E34" s="190"/>
      <c r="F34" s="190"/>
      <c r="G34" s="190"/>
      <c r="H34" s="190"/>
      <c r="I34" s="190"/>
      <c r="J34" s="190"/>
      <c r="R34" s="54" t="s">
        <v>110</v>
      </c>
      <c r="S34" s="185" t="s">
        <v>114</v>
      </c>
      <c r="T34" s="185"/>
      <c r="U34" s="185"/>
      <c r="V34" s="185"/>
      <c r="W34" s="185"/>
      <c r="X34" s="185"/>
      <c r="Y34" s="41">
        <v>1</v>
      </c>
      <c r="Z34" s="41">
        <f>SUM(Scoring!F57)</f>
        <v>0</v>
      </c>
    </row>
    <row r="35" spans="2:26" x14ac:dyDescent="0.25">
      <c r="B35" s="43" t="s">
        <v>47</v>
      </c>
      <c r="C35" s="63" t="s">
        <v>309</v>
      </c>
      <c r="D35" s="63"/>
      <c r="E35" s="63"/>
      <c r="F35" s="63"/>
      <c r="G35" s="63"/>
      <c r="H35" s="63"/>
      <c r="I35" s="63"/>
      <c r="J35" s="63"/>
      <c r="R35" s="54" t="s">
        <v>111</v>
      </c>
      <c r="S35" s="185" t="s">
        <v>115</v>
      </c>
      <c r="T35" s="185"/>
      <c r="U35" s="185"/>
      <c r="V35" s="185"/>
      <c r="W35" s="185"/>
      <c r="X35" s="185"/>
      <c r="Y35" s="41">
        <v>1</v>
      </c>
      <c r="Z35" s="41">
        <f>SUM(Scoring!F58)</f>
        <v>0</v>
      </c>
    </row>
    <row r="36" spans="2:26" x14ac:dyDescent="0.25">
      <c r="B36" s="39"/>
      <c r="C36" s="39"/>
      <c r="D36" s="39"/>
      <c r="E36" s="39"/>
      <c r="F36" s="39"/>
      <c r="G36" s="39"/>
      <c r="H36" s="39"/>
      <c r="I36" s="39"/>
      <c r="J36" s="39"/>
      <c r="R36" s="51">
        <v>3.2</v>
      </c>
      <c r="S36" s="184" t="s">
        <v>116</v>
      </c>
      <c r="T36" s="184"/>
      <c r="U36" s="184"/>
      <c r="V36" s="184"/>
      <c r="W36" s="184"/>
      <c r="X36" s="184"/>
      <c r="Y36" s="57">
        <v>11</v>
      </c>
      <c r="Z36" s="52">
        <f>SUM(Z37:Z39)</f>
        <v>0</v>
      </c>
    </row>
    <row r="37" spans="2:26" x14ac:dyDescent="0.25">
      <c r="B37" s="186" t="s">
        <v>48</v>
      </c>
      <c r="C37" s="187"/>
      <c r="D37" s="188"/>
      <c r="E37" s="186" t="s">
        <v>49</v>
      </c>
      <c r="F37" s="187"/>
      <c r="G37" s="188"/>
      <c r="H37" s="189" t="s">
        <v>50</v>
      </c>
      <c r="I37" s="189"/>
      <c r="J37" s="189"/>
      <c r="R37" s="54" t="s">
        <v>108</v>
      </c>
      <c r="S37" s="185" t="s">
        <v>117</v>
      </c>
      <c r="T37" s="185"/>
      <c r="U37" s="185"/>
      <c r="V37" s="185"/>
      <c r="W37" s="185"/>
      <c r="X37" s="185"/>
      <c r="Y37" s="58">
        <v>2</v>
      </c>
      <c r="Z37" s="41">
        <f>SUM(Scoring!F60)</f>
        <v>0</v>
      </c>
    </row>
    <row r="38" spans="2:26" x14ac:dyDescent="0.25">
      <c r="B38" s="192" t="s">
        <v>316</v>
      </c>
      <c r="C38" s="193"/>
      <c r="D38" s="194"/>
      <c r="E38" s="201" t="s">
        <v>32</v>
      </c>
      <c r="F38" s="202"/>
      <c r="G38" s="203"/>
      <c r="H38" s="210"/>
      <c r="I38" s="211"/>
      <c r="J38" s="212"/>
      <c r="R38" s="54" t="s">
        <v>109</v>
      </c>
      <c r="S38" s="185" t="s">
        <v>118</v>
      </c>
      <c r="T38" s="185"/>
      <c r="U38" s="185"/>
      <c r="V38" s="185"/>
      <c r="W38" s="185"/>
      <c r="X38" s="185"/>
      <c r="Y38" s="58">
        <v>7</v>
      </c>
      <c r="Z38" s="41">
        <f>SUM(Scoring!F61:F64)</f>
        <v>0</v>
      </c>
    </row>
    <row r="39" spans="2:26" x14ac:dyDescent="0.25">
      <c r="B39" s="195"/>
      <c r="C39" s="196"/>
      <c r="D39" s="197"/>
      <c r="E39" s="204"/>
      <c r="F39" s="205"/>
      <c r="G39" s="206"/>
      <c r="H39" s="213"/>
      <c r="I39" s="214"/>
      <c r="J39" s="215"/>
      <c r="R39" s="54" t="s">
        <v>110</v>
      </c>
      <c r="S39" s="185" t="s">
        <v>119</v>
      </c>
      <c r="T39" s="185"/>
      <c r="U39" s="185"/>
      <c r="V39" s="185"/>
      <c r="W39" s="185"/>
      <c r="X39" s="185"/>
      <c r="Y39" s="41">
        <v>2</v>
      </c>
      <c r="Z39" s="41">
        <f>SUM(Scoring!F65:F66)</f>
        <v>0</v>
      </c>
    </row>
    <row r="40" spans="2:26" x14ac:dyDescent="0.25">
      <c r="B40" s="198"/>
      <c r="C40" s="199"/>
      <c r="D40" s="200"/>
      <c r="E40" s="207"/>
      <c r="F40" s="208"/>
      <c r="G40" s="209"/>
      <c r="H40" s="216"/>
      <c r="I40" s="217"/>
      <c r="J40" s="218"/>
      <c r="R40" s="51">
        <v>3.3</v>
      </c>
      <c r="S40" s="184" t="s">
        <v>120</v>
      </c>
      <c r="T40" s="184"/>
      <c r="U40" s="184"/>
      <c r="V40" s="184"/>
      <c r="W40" s="184"/>
      <c r="X40" s="184"/>
      <c r="Y40" s="57">
        <v>6</v>
      </c>
      <c r="Z40" s="52">
        <f>SUM(Z41)</f>
        <v>0</v>
      </c>
    </row>
    <row r="41" spans="2:26" x14ac:dyDescent="0.25">
      <c r="B41" s="39"/>
      <c r="C41" s="39"/>
      <c r="D41" s="39"/>
      <c r="E41" s="39"/>
      <c r="F41" s="39"/>
      <c r="G41" s="39"/>
      <c r="H41" s="39"/>
      <c r="I41" s="39"/>
      <c r="J41" s="39"/>
      <c r="R41" s="54" t="s">
        <v>108</v>
      </c>
      <c r="S41" s="185" t="s">
        <v>121</v>
      </c>
      <c r="T41" s="185"/>
      <c r="U41" s="185"/>
      <c r="V41" s="185"/>
      <c r="W41" s="185"/>
      <c r="X41" s="185"/>
      <c r="Y41" s="58">
        <v>6</v>
      </c>
      <c r="Z41" s="41">
        <f>SUM(Scoring!F68:F72)</f>
        <v>0</v>
      </c>
    </row>
    <row r="42" spans="2:26" x14ac:dyDescent="0.25">
      <c r="B42" s="39" t="s">
        <v>51</v>
      </c>
      <c r="C42" s="39"/>
      <c r="D42" s="39"/>
      <c r="E42" s="39"/>
      <c r="F42" s="39"/>
      <c r="G42" s="39" t="s">
        <v>55</v>
      </c>
      <c r="H42" s="39"/>
      <c r="I42" s="39"/>
      <c r="J42" s="39"/>
      <c r="R42" s="191" t="s">
        <v>300</v>
      </c>
      <c r="S42" s="191"/>
      <c r="T42" s="191"/>
      <c r="U42" s="191"/>
      <c r="V42" s="191"/>
      <c r="W42" s="191"/>
      <c r="X42" s="191"/>
      <c r="Y42" s="47">
        <v>25</v>
      </c>
      <c r="Z42" s="56">
        <f>Z43+Z46+Z50</f>
        <v>0</v>
      </c>
    </row>
    <row r="43" spans="2:26" x14ac:dyDescent="0.25">
      <c r="B43" s="39"/>
      <c r="C43" s="39"/>
      <c r="D43" s="39"/>
      <c r="E43" s="39"/>
      <c r="F43" s="39"/>
      <c r="G43" s="39"/>
      <c r="H43" s="39"/>
      <c r="I43" s="39"/>
      <c r="J43" s="39"/>
      <c r="R43" s="51">
        <v>4.0999999999999996</v>
      </c>
      <c r="S43" s="184" t="s">
        <v>122</v>
      </c>
      <c r="T43" s="184"/>
      <c r="U43" s="184"/>
      <c r="V43" s="184"/>
      <c r="W43" s="184"/>
      <c r="X43" s="184"/>
      <c r="Y43" s="57">
        <v>15</v>
      </c>
      <c r="Z43" s="52">
        <f>SUM(Z44:Z45)</f>
        <v>0</v>
      </c>
    </row>
    <row r="44" spans="2:26" x14ac:dyDescent="0.25">
      <c r="B44" s="39"/>
      <c r="C44" s="39"/>
      <c r="D44" s="39"/>
      <c r="E44" s="39"/>
      <c r="F44" s="39"/>
      <c r="G44" s="39"/>
      <c r="H44" s="39"/>
      <c r="I44" s="39"/>
      <c r="J44" s="39"/>
      <c r="R44" s="54" t="s">
        <v>123</v>
      </c>
      <c r="S44" s="185" t="s">
        <v>124</v>
      </c>
      <c r="T44" s="185"/>
      <c r="U44" s="185"/>
      <c r="V44" s="185"/>
      <c r="W44" s="185"/>
      <c r="X44" s="185"/>
      <c r="Y44" s="58">
        <v>8</v>
      </c>
      <c r="Z44" s="41">
        <f>SUM(Scoring!AC4:AC7)</f>
        <v>0</v>
      </c>
    </row>
    <row r="45" spans="2:26" x14ac:dyDescent="0.25">
      <c r="B45" s="44"/>
      <c r="C45" s="44"/>
      <c r="D45" s="44"/>
      <c r="E45" s="44"/>
      <c r="F45" s="39"/>
      <c r="G45" s="44"/>
      <c r="H45" s="44"/>
      <c r="I45" s="44"/>
      <c r="J45" s="44"/>
      <c r="R45" s="54" t="s">
        <v>126</v>
      </c>
      <c r="S45" s="185" t="s">
        <v>125</v>
      </c>
      <c r="T45" s="185"/>
      <c r="U45" s="185"/>
      <c r="V45" s="185"/>
      <c r="W45" s="185"/>
      <c r="X45" s="185"/>
      <c r="Y45" s="58">
        <v>7</v>
      </c>
      <c r="Z45" s="41">
        <f>SUM(Scoring!AC8:AC11)</f>
        <v>0</v>
      </c>
    </row>
    <row r="46" spans="2:26" x14ac:dyDescent="0.25">
      <c r="B46" s="42" t="s">
        <v>52</v>
      </c>
      <c r="C46" s="39"/>
      <c r="D46" s="39"/>
      <c r="E46" s="39"/>
      <c r="F46" s="39"/>
      <c r="G46" s="42" t="s">
        <v>318</v>
      </c>
      <c r="H46" s="39"/>
      <c r="I46" s="39"/>
      <c r="J46" s="39"/>
      <c r="R46" s="51">
        <v>4.2</v>
      </c>
      <c r="S46" s="184" t="s">
        <v>127</v>
      </c>
      <c r="T46" s="184"/>
      <c r="U46" s="184"/>
      <c r="V46" s="184"/>
      <c r="W46" s="184"/>
      <c r="X46" s="184"/>
      <c r="Y46" s="57">
        <v>12</v>
      </c>
      <c r="Z46" s="52">
        <f>SUM(Z47:Z49)</f>
        <v>0</v>
      </c>
    </row>
    <row r="47" spans="2:26" x14ac:dyDescent="0.25">
      <c r="B47" s="42" t="s">
        <v>53</v>
      </c>
      <c r="C47" s="39"/>
      <c r="D47" s="39"/>
      <c r="E47" s="39"/>
      <c r="F47" s="39"/>
      <c r="G47" s="42" t="s">
        <v>319</v>
      </c>
      <c r="H47" s="39"/>
      <c r="I47" s="39"/>
      <c r="J47" s="39"/>
      <c r="R47" s="54" t="s">
        <v>130</v>
      </c>
      <c r="S47" s="185" t="s">
        <v>128</v>
      </c>
      <c r="T47" s="185"/>
      <c r="U47" s="185"/>
      <c r="V47" s="185"/>
      <c r="W47" s="185"/>
      <c r="X47" s="185"/>
      <c r="Y47" s="58">
        <v>6</v>
      </c>
      <c r="Z47" s="41">
        <f>SUM(Scoring!AC13:AC17)</f>
        <v>0</v>
      </c>
    </row>
    <row r="48" spans="2:26" x14ac:dyDescent="0.25">
      <c r="B48" s="39" t="s">
        <v>312</v>
      </c>
      <c r="C48" s="39"/>
      <c r="D48" s="39"/>
      <c r="E48" s="39"/>
      <c r="F48" s="39"/>
      <c r="G48" s="39" t="s">
        <v>54</v>
      </c>
      <c r="H48" s="39"/>
      <c r="I48" s="39"/>
      <c r="J48" s="39"/>
      <c r="R48" s="54" t="s">
        <v>131</v>
      </c>
      <c r="S48" s="185" t="s">
        <v>129</v>
      </c>
      <c r="T48" s="185"/>
      <c r="U48" s="185"/>
      <c r="V48" s="185"/>
      <c r="W48" s="185"/>
      <c r="X48" s="185"/>
      <c r="Y48" s="58">
        <v>1</v>
      </c>
      <c r="Z48" s="41">
        <f>SUM(Scoring!AC18)</f>
        <v>0</v>
      </c>
    </row>
    <row r="49" spans="2:26" x14ac:dyDescent="0.25">
      <c r="B49" s="39"/>
      <c r="C49" s="39"/>
      <c r="D49" s="39"/>
      <c r="E49" s="39"/>
      <c r="F49" s="39"/>
      <c r="G49" s="39"/>
      <c r="H49" s="39"/>
      <c r="I49" s="39"/>
      <c r="J49" s="39"/>
      <c r="R49" s="54" t="s">
        <v>132</v>
      </c>
      <c r="S49" s="185" t="s">
        <v>149</v>
      </c>
      <c r="T49" s="185"/>
      <c r="U49" s="185"/>
      <c r="V49" s="185"/>
      <c r="W49" s="185"/>
      <c r="X49" s="185"/>
      <c r="Y49" s="58">
        <v>5</v>
      </c>
      <c r="Z49" s="41">
        <f>SUM(Scoring!AC19:AC23)</f>
        <v>0</v>
      </c>
    </row>
    <row r="50" spans="2:26" x14ac:dyDescent="0.25">
      <c r="B50" s="182"/>
      <c r="C50" s="182"/>
      <c r="D50" s="182"/>
      <c r="E50" s="182"/>
      <c r="F50" s="182"/>
      <c r="G50" s="182"/>
      <c r="H50" s="182"/>
      <c r="I50" s="182"/>
      <c r="J50" s="182"/>
      <c r="R50" s="51">
        <v>4.3</v>
      </c>
      <c r="S50" s="184" t="s">
        <v>133</v>
      </c>
      <c r="T50" s="184"/>
      <c r="U50" s="184"/>
      <c r="V50" s="184"/>
      <c r="W50" s="184"/>
      <c r="X50" s="184"/>
      <c r="Y50" s="57">
        <v>8</v>
      </c>
      <c r="Z50" s="52">
        <f>SUM(Z51:Z53)</f>
        <v>0</v>
      </c>
    </row>
    <row r="51" spans="2:26" ht="14.45" customHeight="1" x14ac:dyDescent="0.25">
      <c r="B51" s="182"/>
      <c r="C51" s="182"/>
      <c r="D51" s="182"/>
      <c r="E51" s="182"/>
      <c r="F51" s="182"/>
      <c r="G51" s="182"/>
      <c r="H51" s="182"/>
      <c r="I51" s="182"/>
      <c r="J51" s="182"/>
      <c r="R51" s="54" t="s">
        <v>137</v>
      </c>
      <c r="S51" s="185" t="s">
        <v>134</v>
      </c>
      <c r="T51" s="185"/>
      <c r="U51" s="185"/>
      <c r="V51" s="185"/>
      <c r="W51" s="185"/>
      <c r="X51" s="185"/>
      <c r="Y51" s="58">
        <v>2</v>
      </c>
      <c r="Z51" s="41">
        <f>SUM(Scoring!AC25:AC26)</f>
        <v>0</v>
      </c>
    </row>
    <row r="52" spans="2:26" x14ac:dyDescent="0.25">
      <c r="B52" s="182"/>
      <c r="C52" s="182"/>
      <c r="D52" s="182"/>
      <c r="E52" s="182"/>
      <c r="F52" s="182"/>
      <c r="G52" s="182"/>
      <c r="H52" s="182"/>
      <c r="I52" s="182"/>
      <c r="J52" s="182"/>
      <c r="R52" s="54" t="s">
        <v>138</v>
      </c>
      <c r="S52" s="185" t="s">
        <v>135</v>
      </c>
      <c r="T52" s="185"/>
      <c r="U52" s="185"/>
      <c r="V52" s="185"/>
      <c r="W52" s="185"/>
      <c r="X52" s="185"/>
      <c r="Y52" s="58">
        <v>4</v>
      </c>
      <c r="Z52" s="41">
        <f>SUM(Scoring!AC27:AC31)</f>
        <v>0</v>
      </c>
    </row>
    <row r="53" spans="2:26" x14ac:dyDescent="0.25">
      <c r="B53" s="183" t="s">
        <v>302</v>
      </c>
      <c r="C53" s="183"/>
      <c r="D53" s="183"/>
      <c r="E53" s="183"/>
      <c r="F53" s="182" t="s">
        <v>57</v>
      </c>
      <c r="G53" s="182"/>
      <c r="H53" s="182"/>
      <c r="I53" s="182"/>
      <c r="J53" s="182"/>
      <c r="R53" s="54" t="s">
        <v>139</v>
      </c>
      <c r="S53" s="185" t="s">
        <v>136</v>
      </c>
      <c r="T53" s="185"/>
      <c r="U53" s="185"/>
      <c r="V53" s="185"/>
      <c r="W53" s="185"/>
      <c r="X53" s="185"/>
      <c r="Y53" s="58">
        <v>2</v>
      </c>
      <c r="Z53" s="41">
        <f>SUM(Scoring!AC32:AC33)</f>
        <v>0</v>
      </c>
    </row>
    <row r="54" spans="2:26" x14ac:dyDescent="0.25">
      <c r="B54" s="182" t="s">
        <v>56</v>
      </c>
      <c r="C54" s="182"/>
      <c r="D54" s="182"/>
      <c r="E54" s="182"/>
      <c r="F54" s="182" t="s">
        <v>56</v>
      </c>
      <c r="G54" s="182"/>
      <c r="H54" s="182"/>
      <c r="I54" s="182"/>
      <c r="J54" s="182"/>
      <c r="R54" s="191" t="s">
        <v>143</v>
      </c>
      <c r="S54" s="191"/>
      <c r="T54" s="191"/>
      <c r="U54" s="191"/>
      <c r="V54" s="191"/>
      <c r="W54" s="191"/>
      <c r="X54" s="191"/>
      <c r="Y54" s="47">
        <v>20</v>
      </c>
      <c r="Z54" s="56">
        <f>SUM(Z55:Z56)</f>
        <v>0</v>
      </c>
    </row>
    <row r="55" spans="2:26" x14ac:dyDescent="0.25">
      <c r="B55" s="39"/>
      <c r="C55" s="39"/>
      <c r="D55" s="39"/>
      <c r="E55" s="39"/>
      <c r="F55" s="39"/>
      <c r="G55" s="39"/>
      <c r="H55" s="39"/>
      <c r="I55" s="39"/>
      <c r="J55" s="39"/>
      <c r="R55" s="51">
        <v>5.0999999999999996</v>
      </c>
      <c r="S55" s="184" t="s">
        <v>140</v>
      </c>
      <c r="T55" s="184"/>
      <c r="U55" s="184"/>
      <c r="V55" s="184"/>
      <c r="W55" s="184"/>
      <c r="X55" s="184"/>
      <c r="Y55" s="57">
        <v>10</v>
      </c>
      <c r="Z55" s="52">
        <f>SUM(Scoring!AC35)</f>
        <v>0</v>
      </c>
    </row>
    <row r="56" spans="2:26" x14ac:dyDescent="0.25">
      <c r="R56" s="51">
        <v>5.2</v>
      </c>
      <c r="S56" s="184" t="s">
        <v>141</v>
      </c>
      <c r="T56" s="184"/>
      <c r="U56" s="184"/>
      <c r="V56" s="184"/>
      <c r="W56" s="184"/>
      <c r="X56" s="184"/>
      <c r="Y56" s="57">
        <v>10</v>
      </c>
      <c r="Z56" s="52">
        <f>SUM(Scoring!AC36:AC37)</f>
        <v>0</v>
      </c>
    </row>
    <row r="57" spans="2:26" x14ac:dyDescent="0.25">
      <c r="R57" s="39" t="s">
        <v>142</v>
      </c>
      <c r="X57" s="47" t="s">
        <v>295</v>
      </c>
      <c r="Y57" s="47">
        <v>140</v>
      </c>
      <c r="Z57" s="47">
        <f>Z5+Z16+Z30+Z42+Z54</f>
        <v>1</v>
      </c>
    </row>
  </sheetData>
  <sheetProtection algorithmName="SHA-512" hashValue="bfnoaPxmKcy0uyVowwQkVf97HPmqUDYGzzGPWyf2rAaWzLG3GIyWgN6HNAnf8hrH3d8TG2QXfJQve4JQPh9d8g==" saltValue="TbiHCsbGOFaSWnUbj7JpkQ==" spinCount="100000" sheet="1" objects="1" scenarios="1"/>
  <mergeCells count="97">
    <mergeCell ref="B8:C8"/>
    <mergeCell ref="D8:J8"/>
    <mergeCell ref="S11:X11"/>
    <mergeCell ref="B9:C9"/>
    <mergeCell ref="D9:J9"/>
    <mergeCell ref="B10:C10"/>
    <mergeCell ref="B11:C11"/>
    <mergeCell ref="D10:J10"/>
    <mergeCell ref="S9:X9"/>
    <mergeCell ref="S10:X10"/>
    <mergeCell ref="D11:J11"/>
    <mergeCell ref="D12:J12"/>
    <mergeCell ref="D13:J13"/>
    <mergeCell ref="S12:X12"/>
    <mergeCell ref="S20:X20"/>
    <mergeCell ref="L19:N19"/>
    <mergeCell ref="L20:N20"/>
    <mergeCell ref="L15:N15"/>
    <mergeCell ref="S17:X17"/>
    <mergeCell ref="S15:X15"/>
    <mergeCell ref="R16:X16"/>
    <mergeCell ref="R1:Z1"/>
    <mergeCell ref="R4:X4"/>
    <mergeCell ref="S6:X6"/>
    <mergeCell ref="S7:X7"/>
    <mergeCell ref="S8:X8"/>
    <mergeCell ref="T2:W2"/>
    <mergeCell ref="X2:Y2"/>
    <mergeCell ref="T3:Z3"/>
    <mergeCell ref="R2:S2"/>
    <mergeCell ref="B12:C13"/>
    <mergeCell ref="R18:R19"/>
    <mergeCell ref="S18:X18"/>
    <mergeCell ref="L17:N17"/>
    <mergeCell ref="S19:X19"/>
    <mergeCell ref="H17:J17"/>
    <mergeCell ref="H18:I18"/>
    <mergeCell ref="H19:I19"/>
    <mergeCell ref="B15:C15"/>
    <mergeCell ref="D15:J15"/>
    <mergeCell ref="L16:N16"/>
    <mergeCell ref="D14:J14"/>
    <mergeCell ref="B14:C14"/>
    <mergeCell ref="L18:N18"/>
    <mergeCell ref="S13:X13"/>
    <mergeCell ref="S14:X14"/>
    <mergeCell ref="S22:X22"/>
    <mergeCell ref="S33:X33"/>
    <mergeCell ref="S23:X23"/>
    <mergeCell ref="S24:X24"/>
    <mergeCell ref="S25:X25"/>
    <mergeCell ref="R30:X30"/>
    <mergeCell ref="S31:X31"/>
    <mergeCell ref="S32:X32"/>
    <mergeCell ref="R21:R22"/>
    <mergeCell ref="S21:X21"/>
    <mergeCell ref="R26:R27"/>
    <mergeCell ref="S26:X26"/>
    <mergeCell ref="S27:X27"/>
    <mergeCell ref="S28:X28"/>
    <mergeCell ref="S29:X29"/>
    <mergeCell ref="S56:X56"/>
    <mergeCell ref="S52:X52"/>
    <mergeCell ref="S53:X53"/>
    <mergeCell ref="S51:X51"/>
    <mergeCell ref="B38:D40"/>
    <mergeCell ref="E38:G40"/>
    <mergeCell ref="H38:J40"/>
    <mergeCell ref="F50:J52"/>
    <mergeCell ref="B50:E52"/>
    <mergeCell ref="R54:X54"/>
    <mergeCell ref="S46:X46"/>
    <mergeCell ref="S47:X47"/>
    <mergeCell ref="S48:X48"/>
    <mergeCell ref="S45:X45"/>
    <mergeCell ref="S39:X39"/>
    <mergeCell ref="S40:X40"/>
    <mergeCell ref="S34:X34"/>
    <mergeCell ref="F53:J53"/>
    <mergeCell ref="C30:J34"/>
    <mergeCell ref="S41:X41"/>
    <mergeCell ref="R42:X42"/>
    <mergeCell ref="S43:X43"/>
    <mergeCell ref="S44:X44"/>
    <mergeCell ref="S49:X49"/>
    <mergeCell ref="F54:J54"/>
    <mergeCell ref="B53:E53"/>
    <mergeCell ref="B54:E54"/>
    <mergeCell ref="S55:X55"/>
    <mergeCell ref="S35:X35"/>
    <mergeCell ref="B37:D37"/>
    <mergeCell ref="E37:G37"/>
    <mergeCell ref="H37:J37"/>
    <mergeCell ref="S36:X36"/>
    <mergeCell ref="S50:X50"/>
    <mergeCell ref="S37:X37"/>
    <mergeCell ref="S38:X38"/>
  </mergeCells>
  <dataValidations count="5">
    <dataValidation type="list" allowBlank="1" showInputMessage="1" showErrorMessage="1" sqref="L5" xr:uid="{00000000-0002-0000-0100-000000000000}">
      <formula1>$O$2:$O$11</formula1>
    </dataValidation>
    <dataValidation type="list" allowBlank="1" showInputMessage="1" showErrorMessage="1" sqref="L6" xr:uid="{00000000-0002-0000-0100-000001000000}">
      <formula1>$M$12:$M$14</formula1>
    </dataValidation>
    <dataValidation type="list" allowBlank="1" showInputMessage="1" showErrorMessage="1" sqref="D15" xr:uid="{00000000-0002-0000-0100-000002000000}">
      <formula1>$M$9:$M$10</formula1>
    </dataValidation>
    <dataValidation type="list" allowBlank="1" showInputMessage="1" showErrorMessage="1" sqref="L4" xr:uid="{00000000-0002-0000-0100-000003000000}">
      <formula1>$M$5:$M$7</formula1>
    </dataValidation>
    <dataValidation type="list" allowBlank="1" showInputMessage="1" showErrorMessage="1" sqref="L3" xr:uid="{00000000-0002-0000-0100-000004000000}">
      <formula1>$M$2:$M$3</formula1>
    </dataValidation>
  </dataValidations>
  <pageMargins left="0.9055118110236221" right="0.9055118110236221" top="0.27559055118110237" bottom="0.27559055118110237" header="0.11811023622047245" footer="0.11811023622047245"/>
  <pageSetup scale="89" orientation="portrait" r:id="rId1"/>
  <ignoredErrors>
    <ignoredError sqref="Z5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103"/>
  <sheetViews>
    <sheetView tabSelected="1" zoomScale="85" zoomScaleNormal="85" workbookViewId="0">
      <selection activeCell="I34" sqref="I34"/>
    </sheetView>
  </sheetViews>
  <sheetFormatPr defaultRowHeight="15" x14ac:dyDescent="0.25"/>
  <cols>
    <col min="1" max="1" width="8.85546875" style="3"/>
    <col min="2" max="2" width="5.7109375" style="36" customWidth="1"/>
    <col min="3" max="3" width="19.7109375" style="10" customWidth="1"/>
    <col min="4" max="4" width="2.28515625" style="35" customWidth="1"/>
    <col min="5" max="5" width="53.42578125" style="6" customWidth="1"/>
    <col min="6" max="6" width="9.42578125" style="14" bestFit="1" customWidth="1"/>
    <col min="7" max="7" width="15" style="125" hidden="1" customWidth="1"/>
    <col min="8" max="8" width="51.28515625" style="125" bestFit="1" customWidth="1"/>
    <col min="9" max="9" width="28.140625" style="79" bestFit="1" customWidth="1"/>
    <col min="10" max="10" width="14.7109375" hidden="1" customWidth="1"/>
    <col min="11" max="11" width="7.5703125" hidden="1" customWidth="1"/>
    <col min="12" max="16" width="9.140625" style="15" hidden="1" customWidth="1"/>
    <col min="17" max="23" width="9.140625" hidden="1" customWidth="1"/>
    <col min="25" max="25" width="5.7109375" customWidth="1"/>
    <col min="26" max="26" width="19.7109375" customWidth="1"/>
    <col min="27" max="27" width="2.28515625" customWidth="1"/>
    <col min="28" max="28" width="53.42578125" customWidth="1"/>
    <col min="30" max="30" width="15" style="125" hidden="1" customWidth="1"/>
    <col min="31" max="31" width="50" customWidth="1"/>
    <col min="34" max="44" width="0" hidden="1" customWidth="1"/>
  </cols>
  <sheetData>
    <row r="1" spans="2:44" x14ac:dyDescent="0.25">
      <c r="B1" s="278" t="s">
        <v>147</v>
      </c>
      <c r="C1" s="278"/>
      <c r="D1" s="278" t="s">
        <v>148</v>
      </c>
      <c r="E1" s="278"/>
      <c r="F1" s="13" t="s">
        <v>145</v>
      </c>
      <c r="G1" s="124" t="s">
        <v>326</v>
      </c>
      <c r="H1" s="124" t="s">
        <v>327</v>
      </c>
      <c r="I1" s="113" t="s">
        <v>328</v>
      </c>
      <c r="J1" s="75"/>
      <c r="Y1" s="278" t="s">
        <v>147</v>
      </c>
      <c r="Z1" s="278"/>
      <c r="AA1" s="278" t="s">
        <v>148</v>
      </c>
      <c r="AB1" s="278"/>
      <c r="AC1" s="13" t="s">
        <v>145</v>
      </c>
      <c r="AD1" s="124" t="s">
        <v>326</v>
      </c>
      <c r="AE1" s="113" t="s">
        <v>327</v>
      </c>
    </row>
    <row r="2" spans="2:44" x14ac:dyDescent="0.25">
      <c r="B2" s="253" t="s">
        <v>60</v>
      </c>
      <c r="C2" s="254"/>
      <c r="D2" s="254"/>
      <c r="E2" s="254"/>
      <c r="F2" s="255"/>
      <c r="J2" t="s">
        <v>186</v>
      </c>
      <c r="L2" s="279" t="s">
        <v>324</v>
      </c>
      <c r="M2" s="279"/>
      <c r="N2" s="279"/>
      <c r="O2" s="279"/>
      <c r="P2" s="279"/>
      <c r="Q2" s="279"/>
      <c r="R2" s="279"/>
      <c r="S2" s="279"/>
      <c r="T2" s="279"/>
      <c r="U2" s="279"/>
      <c r="Y2" s="253" t="s">
        <v>176</v>
      </c>
      <c r="Z2" s="254"/>
      <c r="AA2" s="254"/>
      <c r="AB2" s="254"/>
      <c r="AC2" s="255"/>
      <c r="AH2" s="15"/>
      <c r="AI2" s="15"/>
      <c r="AJ2" s="15"/>
      <c r="AK2" s="15"/>
      <c r="AL2" s="15"/>
    </row>
    <row r="3" spans="2:44" x14ac:dyDescent="0.25">
      <c r="B3" s="7">
        <v>1.1000000000000001</v>
      </c>
      <c r="C3" s="273" t="s">
        <v>67</v>
      </c>
      <c r="D3" s="280"/>
      <c r="E3" s="280"/>
      <c r="F3" s="281"/>
      <c r="G3" s="125" t="s">
        <v>325</v>
      </c>
      <c r="J3" t="s">
        <v>227</v>
      </c>
      <c r="M3" s="15" t="s">
        <v>207</v>
      </c>
      <c r="N3" s="15" t="s">
        <v>208</v>
      </c>
      <c r="O3" s="15" t="s">
        <v>209</v>
      </c>
      <c r="P3" s="15" t="s">
        <v>210</v>
      </c>
      <c r="Q3" s="15" t="s">
        <v>211</v>
      </c>
      <c r="Y3" s="7">
        <v>4.0999999999999996</v>
      </c>
      <c r="Z3" s="245" t="s">
        <v>122</v>
      </c>
      <c r="AA3" s="246"/>
      <c r="AB3" s="246"/>
      <c r="AC3" s="246"/>
      <c r="AD3" s="125" t="s">
        <v>325</v>
      </c>
      <c r="AH3" s="15"/>
      <c r="AI3" s="15"/>
      <c r="AJ3" s="15"/>
      <c r="AK3" s="15"/>
      <c r="AL3" s="15"/>
    </row>
    <row r="4" spans="2:44" x14ac:dyDescent="0.25">
      <c r="B4" s="250" t="s">
        <v>61</v>
      </c>
      <c r="C4" s="237" t="s">
        <v>62</v>
      </c>
      <c r="D4" s="4" t="s">
        <v>152</v>
      </c>
      <c r="E4" s="78"/>
      <c r="F4" s="102" t="str">
        <f>IF(E4="Not scoring",0,IF(E4="","",1))</f>
        <v/>
      </c>
      <c r="L4" s="15" t="s">
        <v>158</v>
      </c>
      <c r="M4" s="15" t="s">
        <v>154</v>
      </c>
      <c r="N4" s="15" t="s">
        <v>155</v>
      </c>
      <c r="O4" s="15" t="s">
        <v>212</v>
      </c>
      <c r="P4" s="15" t="s">
        <v>144</v>
      </c>
      <c r="Q4" s="16"/>
      <c r="Y4" s="65" t="s">
        <v>123</v>
      </c>
      <c r="Z4" s="12" t="s">
        <v>124</v>
      </c>
      <c r="AA4" s="4" t="s">
        <v>152</v>
      </c>
      <c r="AB4" s="117"/>
      <c r="AC4" s="105" t="str">
        <f>IF(AB4="","",HLOOKUP(AB4,$AH$4:$AO$5,2,FALSE))</f>
        <v/>
      </c>
      <c r="AH4" s="15" t="s">
        <v>158</v>
      </c>
      <c r="AI4" t="s">
        <v>263</v>
      </c>
      <c r="AJ4" t="s">
        <v>264</v>
      </c>
      <c r="AK4" t="s">
        <v>259</v>
      </c>
      <c r="AL4" t="s">
        <v>260</v>
      </c>
      <c r="AM4" t="s">
        <v>261</v>
      </c>
      <c r="AN4" t="s">
        <v>262</v>
      </c>
      <c r="AO4" s="20"/>
    </row>
    <row r="5" spans="2:44" x14ac:dyDescent="0.25">
      <c r="B5" s="251"/>
      <c r="C5" s="259"/>
      <c r="D5" s="30" t="str">
        <f>IF(E5="","",$D$4)</f>
        <v/>
      </c>
      <c r="E5" s="80"/>
      <c r="F5" s="103" t="str">
        <f>IF(E5="Not scoring",0,IF(E5="","",1))</f>
        <v/>
      </c>
      <c r="Y5" s="65"/>
      <c r="Z5" s="12"/>
      <c r="AA5" s="30" t="str">
        <f>IF(AB5="","",$D$4)</f>
        <v/>
      </c>
      <c r="AB5" s="118"/>
      <c r="AC5" s="106" t="str">
        <f>IF(AB5="","",HLOOKUP(AB5,$AH$4:$AO$5,2,FALSE))</f>
        <v/>
      </c>
      <c r="AH5" s="15"/>
      <c r="AI5" s="15">
        <v>1</v>
      </c>
      <c r="AJ5" s="15">
        <v>2</v>
      </c>
      <c r="AK5" s="15">
        <v>2</v>
      </c>
      <c r="AL5" s="15">
        <v>1</v>
      </c>
      <c r="AM5" s="15">
        <v>2</v>
      </c>
      <c r="AN5" s="15">
        <v>1</v>
      </c>
    </row>
    <row r="6" spans="2:44" x14ac:dyDescent="0.25">
      <c r="B6" s="252"/>
      <c r="C6" s="238"/>
      <c r="D6" s="31" t="str">
        <f>IF(E6="","",$D$4)</f>
        <v/>
      </c>
      <c r="E6" s="81"/>
      <c r="F6" s="104" t="str">
        <f>IF(E6="Not scoring",0,IF(E6="","",1))</f>
        <v/>
      </c>
      <c r="Y6" s="65"/>
      <c r="Z6" s="12"/>
      <c r="AA6" s="30" t="str">
        <f>IF(AB6="","",$D$4)</f>
        <v/>
      </c>
      <c r="AB6" s="118"/>
      <c r="AC6" s="106" t="str">
        <f>IF(AB6="","",HLOOKUP(AB6,$AH$4:$AO$5,2,FALSE))</f>
        <v/>
      </c>
      <c r="AH6" s="15"/>
      <c r="AI6" s="15"/>
      <c r="AJ6" s="15"/>
      <c r="AK6" s="15"/>
      <c r="AL6" s="15"/>
    </row>
    <row r="7" spans="2:44" x14ac:dyDescent="0.25">
      <c r="B7" s="7">
        <v>1.2</v>
      </c>
      <c r="C7" s="273" t="s">
        <v>68</v>
      </c>
      <c r="D7" s="274"/>
      <c r="E7" s="274"/>
      <c r="F7" s="275"/>
      <c r="Y7" s="65"/>
      <c r="Z7" s="12"/>
      <c r="AA7" s="30" t="str">
        <f>IF(AB7="","",$D$4)</f>
        <v/>
      </c>
      <c r="AB7" s="118"/>
      <c r="AC7" s="106" t="str">
        <f>IF(AB7="","",HLOOKUP(AB7,$AH$4:$AO$5,2,FALSE))</f>
        <v/>
      </c>
      <c r="AH7" s="15"/>
      <c r="AI7" s="15"/>
      <c r="AJ7" s="15"/>
      <c r="AK7" s="15"/>
      <c r="AL7" s="15"/>
    </row>
    <row r="8" spans="2:44" x14ac:dyDescent="0.25">
      <c r="B8" s="276" t="s">
        <v>69</v>
      </c>
      <c r="C8" s="277" t="s">
        <v>70</v>
      </c>
      <c r="D8" s="4" t="s">
        <v>152</v>
      </c>
      <c r="E8" s="78"/>
      <c r="F8" s="102" t="str">
        <f>IF(E8="Not scoring",0,IF(E8="","",1))</f>
        <v/>
      </c>
      <c r="L8" s="15" t="s">
        <v>158</v>
      </c>
      <c r="M8" s="15" t="s">
        <v>153</v>
      </c>
      <c r="N8" s="17" t="s">
        <v>156</v>
      </c>
      <c r="O8" s="17" t="s">
        <v>213</v>
      </c>
      <c r="P8" s="17" t="s">
        <v>157</v>
      </c>
      <c r="Q8" s="16"/>
      <c r="Y8" s="250" t="s">
        <v>126</v>
      </c>
      <c r="Z8" s="239" t="s">
        <v>125</v>
      </c>
      <c r="AA8" s="4" t="s">
        <v>152</v>
      </c>
      <c r="AB8" s="119"/>
      <c r="AC8" s="111" t="str">
        <f>IF(AB8="","",HLOOKUP(AB8,$AH$8:$AR$9,2,FALSE))</f>
        <v/>
      </c>
      <c r="AH8" s="15" t="s">
        <v>158</v>
      </c>
      <c r="AI8" s="15" t="s">
        <v>265</v>
      </c>
      <c r="AJ8" s="15" t="s">
        <v>193</v>
      </c>
      <c r="AK8" s="15" t="s">
        <v>194</v>
      </c>
      <c r="AL8" s="15" t="s">
        <v>266</v>
      </c>
      <c r="AM8" s="15" t="s">
        <v>267</v>
      </c>
      <c r="AN8" s="15" t="s">
        <v>268</v>
      </c>
      <c r="AO8" s="15" t="s">
        <v>269</v>
      </c>
      <c r="AP8" s="15" t="s">
        <v>270</v>
      </c>
      <c r="AQ8" s="15" t="s">
        <v>271</v>
      </c>
      <c r="AR8" s="20"/>
    </row>
    <row r="9" spans="2:44" x14ac:dyDescent="0.25">
      <c r="B9" s="276"/>
      <c r="C9" s="277"/>
      <c r="D9" s="30" t="str">
        <f>IF(E9="","",$D$4)</f>
        <v/>
      </c>
      <c r="E9" s="82"/>
      <c r="F9" s="103" t="str">
        <f>IF(E9="Not scoring",0,IF(E9="","",1))</f>
        <v/>
      </c>
      <c r="Y9" s="251"/>
      <c r="Z9" s="240"/>
      <c r="AA9" s="30" t="str">
        <f>IF(AB9="","",$D$4)</f>
        <v/>
      </c>
      <c r="AB9" s="120"/>
      <c r="AC9" s="112" t="str">
        <f>IF(AB9="","",HLOOKUP(AB9,$AH$8:$AR$9,2,FALSE))</f>
        <v/>
      </c>
      <c r="AH9" s="15"/>
      <c r="AI9" s="15">
        <v>1</v>
      </c>
      <c r="AJ9" s="15">
        <v>2</v>
      </c>
      <c r="AK9" s="15">
        <v>1</v>
      </c>
      <c r="AL9" s="15">
        <v>1</v>
      </c>
      <c r="AM9" s="15">
        <v>2</v>
      </c>
      <c r="AN9" s="15">
        <v>1</v>
      </c>
      <c r="AO9" s="15">
        <v>2</v>
      </c>
      <c r="AP9" s="15">
        <v>1</v>
      </c>
      <c r="AQ9" s="15">
        <v>2</v>
      </c>
    </row>
    <row r="10" spans="2:44" x14ac:dyDescent="0.25">
      <c r="B10" s="276"/>
      <c r="C10" s="277"/>
      <c r="D10" s="30" t="str">
        <f>IF(E10="","",$D$4)</f>
        <v/>
      </c>
      <c r="E10" s="82"/>
      <c r="F10" s="103" t="str">
        <f>IF(E10="Not scoring",0,IF(E10="","",1))</f>
        <v/>
      </c>
      <c r="Y10" s="251"/>
      <c r="Z10" s="240"/>
      <c r="AA10" s="30" t="str">
        <f>IF(AB10="","",$D$4)</f>
        <v/>
      </c>
      <c r="AB10" s="120"/>
      <c r="AC10" s="112" t="str">
        <f>IF(AB10="","",HLOOKUP(AB10,$AH$8:$AR$9,2,FALSE))</f>
        <v/>
      </c>
      <c r="AH10" s="15"/>
      <c r="AI10" s="15"/>
      <c r="AJ10" s="15"/>
      <c r="AK10" s="15"/>
      <c r="AL10" s="15"/>
    </row>
    <row r="11" spans="2:44" ht="17.25" x14ac:dyDescent="0.25">
      <c r="B11" s="250" t="s">
        <v>72</v>
      </c>
      <c r="C11" s="239" t="s">
        <v>146</v>
      </c>
      <c r="D11" s="4" t="s">
        <v>152</v>
      </c>
      <c r="E11" s="83" t="s">
        <v>158</v>
      </c>
      <c r="F11" s="105">
        <f>HLOOKUP(E11,L11:P12,2,FALSE)</f>
        <v>0</v>
      </c>
      <c r="H11" s="127" t="s">
        <v>217</v>
      </c>
      <c r="I11" s="85"/>
      <c r="L11" s="15" t="s">
        <v>158</v>
      </c>
      <c r="M11" s="15" t="s">
        <v>214</v>
      </c>
      <c r="N11" s="15" t="s">
        <v>216</v>
      </c>
      <c r="O11" s="15" t="s">
        <v>215</v>
      </c>
      <c r="P11" s="15" t="str">
        <f>CONCATENATE("Laboratory demontrates ",I12,"% of energy saving over laboratory's total energy consumption")</f>
        <v>Laboratory demontrates % of energy saving over laboratory's total energy consumption</v>
      </c>
      <c r="Q11" s="20"/>
      <c r="Y11" s="252"/>
      <c r="Z11" s="241"/>
      <c r="AA11" s="31" t="str">
        <f>IF(AB11="","",$D$4)</f>
        <v/>
      </c>
      <c r="AB11" s="121"/>
      <c r="AC11" s="114" t="str">
        <f>IF(AB11="","",HLOOKUP(AB11,$AH$8:$AR$9,2,FALSE))</f>
        <v/>
      </c>
      <c r="AH11" s="15"/>
      <c r="AI11" s="15"/>
      <c r="AJ11" s="15"/>
      <c r="AK11" s="15"/>
      <c r="AL11" s="15"/>
    </row>
    <row r="12" spans="2:44" x14ac:dyDescent="0.25">
      <c r="B12" s="251"/>
      <c r="C12" s="240"/>
      <c r="D12" s="30"/>
      <c r="E12" s="86" t="str">
        <f>IF(E11="Not scoring","",IF(OR(E11=M11,E11=N11,E11=O11),CONCATENATE("Building Name: ",I11),""))</f>
        <v/>
      </c>
      <c r="F12" s="106"/>
      <c r="H12" s="127" t="s">
        <v>329</v>
      </c>
      <c r="I12" s="85"/>
      <c r="M12" s="15">
        <v>6</v>
      </c>
      <c r="N12" s="15">
        <v>4</v>
      </c>
      <c r="O12" s="15">
        <v>3</v>
      </c>
      <c r="P12" s="15">
        <f>I12/2</f>
        <v>0</v>
      </c>
      <c r="Y12" s="28">
        <v>4.2</v>
      </c>
      <c r="Z12" s="260" t="s">
        <v>127</v>
      </c>
      <c r="AA12" s="247"/>
      <c r="AB12" s="247"/>
      <c r="AC12" s="247"/>
      <c r="AD12"/>
      <c r="AH12" s="15"/>
      <c r="AI12" s="15"/>
      <c r="AJ12" s="15"/>
      <c r="AK12" s="15"/>
      <c r="AL12" s="15"/>
    </row>
    <row r="13" spans="2:44" x14ac:dyDescent="0.25">
      <c r="B13" s="252"/>
      <c r="C13" s="241"/>
      <c r="D13" s="31"/>
      <c r="E13" s="88"/>
      <c r="F13" s="106"/>
      <c r="Y13" s="250" t="s">
        <v>206</v>
      </c>
      <c r="Z13" s="239" t="s">
        <v>128</v>
      </c>
      <c r="AA13" s="4" t="s">
        <v>152</v>
      </c>
      <c r="AB13" s="119"/>
      <c r="AC13" s="25" t="str">
        <f>IF(AB13="","",HLOOKUP(AB13,$AH$13:$AQ$14,2,FALSE))</f>
        <v/>
      </c>
      <c r="AH13" s="15" t="s">
        <v>158</v>
      </c>
      <c r="AI13" t="s">
        <v>177</v>
      </c>
      <c r="AJ13" t="s">
        <v>272</v>
      </c>
      <c r="AK13" t="s">
        <v>273</v>
      </c>
      <c r="AL13" t="s">
        <v>274</v>
      </c>
      <c r="AM13" t="s">
        <v>275</v>
      </c>
      <c r="AN13" t="s">
        <v>195</v>
      </c>
      <c r="AO13" t="s">
        <v>276</v>
      </c>
      <c r="AP13" t="s">
        <v>277</v>
      </c>
      <c r="AQ13" s="20"/>
    </row>
    <row r="14" spans="2:44" x14ac:dyDescent="0.25">
      <c r="B14" s="276" t="s">
        <v>73</v>
      </c>
      <c r="C14" s="282" t="s">
        <v>76</v>
      </c>
      <c r="D14" s="30" t="s">
        <v>152</v>
      </c>
      <c r="E14" s="80"/>
      <c r="F14" s="84"/>
      <c r="H14" s="128" t="s">
        <v>187</v>
      </c>
      <c r="Y14" s="251"/>
      <c r="Z14" s="240"/>
      <c r="AA14" s="30" t="str">
        <f>IF(AB14="","",$D$4)</f>
        <v/>
      </c>
      <c r="AB14" s="120"/>
      <c r="AC14" s="27" t="str">
        <f>IF(AB14="","",HLOOKUP(AB14,$AH$13:$AQ$14,2,FALSE))</f>
        <v/>
      </c>
      <c r="AH14" s="15"/>
      <c r="AI14" s="15">
        <v>1</v>
      </c>
      <c r="AJ14" s="15">
        <v>2</v>
      </c>
      <c r="AK14" s="15">
        <v>1</v>
      </c>
      <c r="AL14" s="15">
        <v>1</v>
      </c>
      <c r="AM14" s="15">
        <v>1</v>
      </c>
      <c r="AN14" s="15">
        <v>1</v>
      </c>
      <c r="AO14" s="15">
        <v>1</v>
      </c>
      <c r="AP14" s="15">
        <v>1</v>
      </c>
    </row>
    <row r="15" spans="2:44" x14ac:dyDescent="0.25">
      <c r="B15" s="276"/>
      <c r="C15" s="282"/>
      <c r="D15" s="30"/>
      <c r="E15" s="80"/>
      <c r="F15" s="87"/>
      <c r="H15" s="128" t="s">
        <v>343</v>
      </c>
      <c r="Y15" s="251"/>
      <c r="Z15" s="240"/>
      <c r="AA15" s="30" t="str">
        <f>IF(AB15="","",$D$4)</f>
        <v/>
      </c>
      <c r="AB15" s="120"/>
      <c r="AC15" s="27" t="str">
        <f>IF(AB15="","",HLOOKUP(AB15,$AH$13:$AQ$14,2,FALSE))</f>
        <v/>
      </c>
      <c r="AH15" s="15"/>
      <c r="AI15" s="15"/>
      <c r="AJ15" s="15"/>
      <c r="AK15" s="15"/>
      <c r="AL15" s="15"/>
    </row>
    <row r="16" spans="2:44" x14ac:dyDescent="0.25">
      <c r="B16" s="276"/>
      <c r="C16" s="282"/>
      <c r="D16" s="31"/>
      <c r="E16" s="81"/>
      <c r="F16" s="89"/>
      <c r="H16" s="128"/>
      <c r="Y16" s="251"/>
      <c r="Z16" s="240"/>
      <c r="AA16" s="30" t="str">
        <f>IF(AB16="","",$D$4)</f>
        <v/>
      </c>
      <c r="AB16" s="120"/>
      <c r="AC16" s="27" t="str">
        <f>IF(AB16="","",HLOOKUP(AB16,$AH$13:$AQ$14,2,FALSE))</f>
        <v/>
      </c>
      <c r="AH16" s="15"/>
      <c r="AI16" s="15"/>
      <c r="AJ16" s="15"/>
      <c r="AK16" s="15"/>
      <c r="AL16" s="15"/>
    </row>
    <row r="17" spans="2:44" x14ac:dyDescent="0.25">
      <c r="B17" s="250" t="s">
        <v>74</v>
      </c>
      <c r="C17" s="239" t="s">
        <v>75</v>
      </c>
      <c r="D17" s="4" t="s">
        <v>152</v>
      </c>
      <c r="E17" s="83"/>
      <c r="F17" s="103" t="str">
        <f>IF(E17="Not scoring",0,IF(E17="","",HLOOKUP(E17,L17:O18,2,FALSE)))</f>
        <v/>
      </c>
      <c r="L17" s="15" t="s">
        <v>158</v>
      </c>
      <c r="M17" s="15" t="s">
        <v>150</v>
      </c>
      <c r="N17" s="15" t="s">
        <v>151</v>
      </c>
      <c r="O17" s="15" t="s">
        <v>218</v>
      </c>
      <c r="P17" s="20"/>
      <c r="Y17" s="252"/>
      <c r="Z17" s="241"/>
      <c r="AA17" s="31" t="str">
        <f>IF(AB17="","",$D$4)</f>
        <v/>
      </c>
      <c r="AB17" s="121"/>
      <c r="AC17" s="19" t="str">
        <f>IF(AB17="","",HLOOKUP(AB17,$AH$13:$AQ$14,2,FALSE))</f>
        <v/>
      </c>
      <c r="AH17" s="15"/>
      <c r="AI17" s="15"/>
      <c r="AJ17" s="15"/>
      <c r="AK17" s="15"/>
      <c r="AL17" s="15"/>
    </row>
    <row r="18" spans="2:44" x14ac:dyDescent="0.25">
      <c r="B18" s="251"/>
      <c r="C18" s="240"/>
      <c r="D18" s="30" t="str">
        <f>IF(E18="","",$D$4)</f>
        <v/>
      </c>
      <c r="E18" s="90"/>
      <c r="F18" s="103" t="str">
        <f>IF(E18="Not scoring",0,IF(E18="","",1))</f>
        <v/>
      </c>
      <c r="M18" s="15">
        <v>1</v>
      </c>
      <c r="N18" s="15">
        <v>1</v>
      </c>
      <c r="O18" s="15">
        <v>1</v>
      </c>
      <c r="Y18" s="71" t="s">
        <v>131</v>
      </c>
      <c r="Z18" s="9" t="s">
        <v>178</v>
      </c>
      <c r="AA18" s="34" t="s">
        <v>152</v>
      </c>
      <c r="AB18" s="122"/>
      <c r="AC18" s="68" t="str">
        <f t="shared" ref="AC18:AC23" si="0">IF(AB18="Not scoring",0,IF(AB18="","",1))</f>
        <v/>
      </c>
      <c r="AH18" s="15" t="s">
        <v>158</v>
      </c>
      <c r="AI18" s="15" t="s">
        <v>279</v>
      </c>
      <c r="AJ18" s="15" t="s">
        <v>278</v>
      </c>
      <c r="AK18" s="20"/>
      <c r="AL18" s="15"/>
    </row>
    <row r="19" spans="2:44" x14ac:dyDescent="0.25">
      <c r="B19" s="252"/>
      <c r="C19" s="241"/>
      <c r="D19" s="30" t="str">
        <f>IF(E19="","",$D$4)</f>
        <v/>
      </c>
      <c r="E19" s="88"/>
      <c r="F19" s="103" t="str">
        <f>IF(E19="Not scoring",0,IF(E19="","",1))</f>
        <v/>
      </c>
      <c r="Y19" s="250" t="s">
        <v>132</v>
      </c>
      <c r="Z19" s="261" t="s">
        <v>149</v>
      </c>
      <c r="AA19" s="30" t="s">
        <v>152</v>
      </c>
      <c r="AB19" s="118"/>
      <c r="AC19" s="68" t="str">
        <f t="shared" si="0"/>
        <v/>
      </c>
      <c r="AH19" s="15" t="s">
        <v>158</v>
      </c>
      <c r="AI19" t="s">
        <v>280</v>
      </c>
      <c r="AJ19" t="s">
        <v>284</v>
      </c>
      <c r="AK19" t="s">
        <v>285</v>
      </c>
      <c r="AL19" t="s">
        <v>281</v>
      </c>
      <c r="AM19" t="s">
        <v>282</v>
      </c>
      <c r="AN19" t="s">
        <v>283</v>
      </c>
      <c r="AO19" t="s">
        <v>286</v>
      </c>
      <c r="AP19" t="s">
        <v>179</v>
      </c>
      <c r="AQ19" t="s">
        <v>180</v>
      </c>
      <c r="AR19" s="20"/>
    </row>
    <row r="20" spans="2:44" x14ac:dyDescent="0.25">
      <c r="B20" s="173">
        <v>1.3</v>
      </c>
      <c r="C20" s="271" t="s">
        <v>77</v>
      </c>
      <c r="D20" s="272"/>
      <c r="E20" s="272"/>
      <c r="F20" s="272"/>
      <c r="Y20" s="251"/>
      <c r="Z20" s="262"/>
      <c r="AA20" s="30" t="str">
        <f t="shared" ref="AA20:AA23" si="1">IF(AB20="","",$D$4)</f>
        <v/>
      </c>
      <c r="AB20" s="118"/>
      <c r="AC20" s="69" t="str">
        <f t="shared" si="0"/>
        <v/>
      </c>
      <c r="AH20" s="15"/>
      <c r="AI20" s="15"/>
      <c r="AJ20" s="15"/>
      <c r="AK20" s="15"/>
      <c r="AL20" s="15"/>
    </row>
    <row r="21" spans="2:44" x14ac:dyDescent="0.25">
      <c r="B21" s="250" t="s">
        <v>78</v>
      </c>
      <c r="C21" s="239" t="s">
        <v>80</v>
      </c>
      <c r="D21" s="4" t="s">
        <v>152</v>
      </c>
      <c r="E21" s="83"/>
      <c r="F21" s="102" t="str">
        <f>IF(E21="Not scoring",0,IF(E21="","",1))</f>
        <v/>
      </c>
      <c r="L21" s="15" t="s">
        <v>158</v>
      </c>
      <c r="M21" s="15" t="s">
        <v>219</v>
      </c>
      <c r="N21" s="15" t="s">
        <v>220</v>
      </c>
      <c r="O21" s="15" t="s">
        <v>221</v>
      </c>
      <c r="P21" s="15" t="s">
        <v>297</v>
      </c>
      <c r="Q21" s="15" t="s">
        <v>222</v>
      </c>
      <c r="R21" s="20"/>
      <c r="Y21" s="251"/>
      <c r="Z21" s="262"/>
      <c r="AA21" s="30" t="str">
        <f t="shared" si="1"/>
        <v/>
      </c>
      <c r="AB21" s="118"/>
      <c r="AC21" s="69" t="str">
        <f t="shared" si="0"/>
        <v/>
      </c>
      <c r="AH21" s="15"/>
      <c r="AI21" s="15"/>
      <c r="AJ21" s="15"/>
      <c r="AK21" s="15"/>
      <c r="AL21" s="15"/>
    </row>
    <row r="22" spans="2:44" x14ac:dyDescent="0.25">
      <c r="B22" s="251"/>
      <c r="C22" s="240"/>
      <c r="D22" s="30" t="str">
        <f>IF(E22="","",$D$4)</f>
        <v/>
      </c>
      <c r="E22" s="86"/>
      <c r="F22" s="103" t="str">
        <f>IF(E22="Not scoring",0,IF(E22="","",1))</f>
        <v/>
      </c>
      <c r="J22" s="125" t="e">
        <f>IF(I29=L28,IF(OR(I30=0,I30&gt;0.35),"",(1+((0.35-I30)/0.35)/0.15))*J28,IF(OR(I30=0,I30&gt;2.2),"",(1+((2.2-I30)/2.2)/0.05)*J28))</f>
        <v>#VALUE!</v>
      </c>
      <c r="Q22" s="15"/>
      <c r="R22" s="20"/>
      <c r="Y22" s="251"/>
      <c r="Z22" s="262"/>
      <c r="AA22" s="30" t="str">
        <f t="shared" si="1"/>
        <v/>
      </c>
      <c r="AB22" s="118"/>
      <c r="AC22" s="69" t="str">
        <f t="shared" si="0"/>
        <v/>
      </c>
      <c r="AH22" s="15"/>
      <c r="AI22" s="15"/>
      <c r="AJ22" s="15"/>
      <c r="AK22" s="15"/>
      <c r="AL22" s="15"/>
    </row>
    <row r="23" spans="2:44" x14ac:dyDescent="0.25">
      <c r="B23" s="251"/>
      <c r="C23" s="240"/>
      <c r="D23" s="31" t="str">
        <f>IF(E23="","",$D$4)</f>
        <v/>
      </c>
      <c r="E23" s="88"/>
      <c r="F23" s="104" t="str">
        <f>IF(E23="Not scoring",0,IF(E23="","",1))</f>
        <v/>
      </c>
      <c r="Q23" s="15"/>
      <c r="R23" s="15"/>
      <c r="Y23" s="252"/>
      <c r="Z23" s="263"/>
      <c r="AA23" s="30" t="str">
        <f t="shared" si="1"/>
        <v/>
      </c>
      <c r="AB23" s="118"/>
      <c r="AC23" s="70" t="str">
        <f t="shared" si="0"/>
        <v/>
      </c>
      <c r="AH23" s="15"/>
      <c r="AI23" s="15"/>
      <c r="AJ23" s="15"/>
      <c r="AK23" s="15"/>
      <c r="AL23" s="15"/>
    </row>
    <row r="24" spans="2:44" x14ac:dyDescent="0.25">
      <c r="B24" s="64" t="s">
        <v>79</v>
      </c>
      <c r="C24" s="11" t="s">
        <v>81</v>
      </c>
      <c r="D24" s="32" t="s">
        <v>152</v>
      </c>
      <c r="E24" s="78"/>
      <c r="F24" s="105" t="str">
        <f>IF(E24="Not scoring",0,IF(E24="","",HLOOKUP(E24,L24:P25,2,FALSE)))</f>
        <v/>
      </c>
      <c r="L24" s="15" t="s">
        <v>158</v>
      </c>
      <c r="M24" s="15" t="s">
        <v>223</v>
      </c>
      <c r="N24" s="15" t="s">
        <v>224</v>
      </c>
      <c r="O24" s="15" t="s">
        <v>225</v>
      </c>
      <c r="P24" s="20"/>
      <c r="Y24" s="7">
        <v>4.3</v>
      </c>
      <c r="Z24" s="245" t="s">
        <v>133</v>
      </c>
      <c r="AA24" s="246"/>
      <c r="AB24" s="246"/>
      <c r="AC24" s="247"/>
      <c r="AD24"/>
      <c r="AH24" s="15"/>
      <c r="AI24" s="15"/>
      <c r="AJ24" s="15"/>
      <c r="AK24" s="15"/>
      <c r="AL24" s="15"/>
    </row>
    <row r="25" spans="2:44" x14ac:dyDescent="0.25">
      <c r="B25" s="66"/>
      <c r="C25" s="21"/>
      <c r="D25" s="33" t="str">
        <f>IF(E25="","",$D$4)</f>
        <v/>
      </c>
      <c r="E25" s="81"/>
      <c r="F25" s="107" t="str">
        <f>IF(E25="","",HLOOKUP(E25,L24:P25,2,FALSE))</f>
        <v/>
      </c>
      <c r="M25" s="15">
        <v>0.5</v>
      </c>
      <c r="N25" s="15">
        <v>1</v>
      </c>
      <c r="O25" s="15">
        <v>2</v>
      </c>
      <c r="P25" s="20"/>
      <c r="Y25" s="250" t="s">
        <v>137</v>
      </c>
      <c r="Z25" s="237" t="s">
        <v>134</v>
      </c>
      <c r="AA25" s="4" t="s">
        <v>152</v>
      </c>
      <c r="AB25" s="119"/>
      <c r="AC25" s="68" t="str">
        <f t="shared" ref="AC25:AC33" si="2">IF(AB25="Not scoring",0,IF(AB25="","",1))</f>
        <v/>
      </c>
      <c r="AH25" s="15" t="s">
        <v>158</v>
      </c>
      <c r="AI25" t="s">
        <v>287</v>
      </c>
      <c r="AJ25" t="s">
        <v>288</v>
      </c>
      <c r="AK25" s="20"/>
      <c r="AL25" s="15"/>
    </row>
    <row r="26" spans="2:44" x14ac:dyDescent="0.25">
      <c r="B26" s="253" t="s">
        <v>159</v>
      </c>
      <c r="C26" s="254"/>
      <c r="D26" s="254"/>
      <c r="E26" s="254"/>
      <c r="F26" s="255"/>
      <c r="H26" s="125" t="s">
        <v>341</v>
      </c>
      <c r="I26" s="91" t="s">
        <v>339</v>
      </c>
      <c r="J26">
        <f>IF(I26=L29,1,0.5)</f>
        <v>1</v>
      </c>
      <c r="Y26" s="252"/>
      <c r="Z26" s="238"/>
      <c r="AA26" s="31" t="str">
        <f>IF(AB26="","",$D$4)</f>
        <v/>
      </c>
      <c r="AB26" s="121"/>
      <c r="AC26" s="69" t="str">
        <f t="shared" si="2"/>
        <v/>
      </c>
      <c r="AH26" s="15"/>
      <c r="AI26" s="15"/>
      <c r="AJ26" s="15"/>
      <c r="AK26" s="15"/>
      <c r="AL26" s="15"/>
    </row>
    <row r="27" spans="2:44" x14ac:dyDescent="0.25">
      <c r="B27" s="7">
        <v>2.1</v>
      </c>
      <c r="C27" s="256" t="s">
        <v>83</v>
      </c>
      <c r="D27" s="246"/>
      <c r="E27" s="246"/>
      <c r="F27" s="246"/>
      <c r="H27" s="125" t="s">
        <v>430</v>
      </c>
      <c r="I27" s="91"/>
      <c r="J27">
        <f>(0.8-I27)*100/0.8</f>
        <v>100</v>
      </c>
      <c r="K27">
        <f>1+(0.8-I27)/0.1</f>
        <v>9</v>
      </c>
      <c r="M27" s="15" t="s">
        <v>331</v>
      </c>
      <c r="N27" s="15" t="s">
        <v>333</v>
      </c>
      <c r="O27" s="15" t="s">
        <v>332</v>
      </c>
      <c r="P27" s="16" t="s">
        <v>334</v>
      </c>
      <c r="Y27" s="250" t="s">
        <v>138</v>
      </c>
      <c r="Z27" s="237" t="s">
        <v>135</v>
      </c>
      <c r="AA27" s="30" t="s">
        <v>152</v>
      </c>
      <c r="AB27" s="120"/>
      <c r="AC27" s="68" t="str">
        <f t="shared" si="2"/>
        <v/>
      </c>
      <c r="AH27" s="15" t="s">
        <v>158</v>
      </c>
      <c r="AI27" t="s">
        <v>289</v>
      </c>
      <c r="AJ27" t="s">
        <v>181</v>
      </c>
      <c r="AK27" t="s">
        <v>182</v>
      </c>
      <c r="AL27" t="s">
        <v>290</v>
      </c>
      <c r="AM27" s="20"/>
    </row>
    <row r="28" spans="2:44" ht="27.6" customHeight="1" x14ac:dyDescent="0.25">
      <c r="B28" s="235" t="s">
        <v>85</v>
      </c>
      <c r="C28" s="239" t="s">
        <v>86</v>
      </c>
      <c r="D28" s="4" t="str">
        <f>IF(E28="","",$D$4)</f>
        <v>·</v>
      </c>
      <c r="E28" s="115" t="str">
        <f>IF(OR(I27=0,I27&gt;0.8),IF(I30=0,"Not scoring",""),IF(I27=0.8,"A/C cooling system performance meets 0.8kW/ton",CONCATENATE("A/C cooling system performance is ",ROUND(J27,2),"% better than 0.8kW/ton")))</f>
        <v>Not scoring</v>
      </c>
      <c r="F28" s="160">
        <f>IF(E28="","",IF(OR(I27=0,I27&gt;0.8),0,(1+(0.8-I27)/0.1))*J26)</f>
        <v>0</v>
      </c>
      <c r="H28" s="125" t="s">
        <v>341</v>
      </c>
      <c r="I28" s="91" t="s">
        <v>339</v>
      </c>
      <c r="J28">
        <f>IF(I28=L29,1,0.5)</f>
        <v>1</v>
      </c>
      <c r="K28" s="15"/>
      <c r="L28" s="15" t="s">
        <v>337</v>
      </c>
      <c r="M28" s="15" t="s">
        <v>338</v>
      </c>
      <c r="Y28" s="251"/>
      <c r="Z28" s="259"/>
      <c r="AA28" s="30" t="str">
        <f>IF(AB28="","",$D$4)</f>
        <v/>
      </c>
      <c r="AB28" s="123"/>
      <c r="AC28" s="69" t="str">
        <f t="shared" si="2"/>
        <v/>
      </c>
      <c r="AH28" s="15"/>
      <c r="AI28" s="15"/>
      <c r="AJ28" s="15"/>
      <c r="AK28" s="15"/>
      <c r="AL28" s="15"/>
    </row>
    <row r="29" spans="2:44" x14ac:dyDescent="0.25">
      <c r="B29" s="264"/>
      <c r="C29" s="240"/>
      <c r="D29" s="30" t="str">
        <f>IF(E29="","",$D$4)</f>
        <v/>
      </c>
      <c r="E29" s="129" t="str">
        <f>IF(I29=L28,IF(OR(I30=0,I30&gt;0.35),"",IF(I30=0.35,CONCATENATE("Air distribution performance meets 0.35kW/ton"," (",I26,")"),CONCATENATE("Air distribution performance is ",ROUND(J29,2),"% better than 0.35kW/ton"," (",I26,")"))),IF(OR(I30=0,I30&gt;2.2),"",IF(I30=2.2,CONCATENATE("AHU's weighted average face velocity meets 2.2m/s"," (",I28,")"),CONCATENATE("AHU's weighted average face velocity is ",ROUND(J29,2),"% better than 2.2m/s"," (",I28,")"))))</f>
        <v/>
      </c>
      <c r="F29" s="108" t="str">
        <f>IF(I29=L28,IF(OR(I30=0,I30&gt;0.35),"",(1+((0.35-I30)/0.35)/0.15)*J28),IF(OR(I30=0,I30&gt;2.2),"",(1+((2.2-I30)/2.2)/0.05)*J28))</f>
        <v/>
      </c>
      <c r="H29" s="125" t="s">
        <v>336</v>
      </c>
      <c r="I29" s="91" t="s">
        <v>337</v>
      </c>
      <c r="J29" s="76">
        <f>IF(I29=L28,(0.35-I30)*100/0.35,(2.2-I30)*100/2.2)</f>
        <v>100</v>
      </c>
      <c r="K29" s="15"/>
      <c r="L29" s="15" t="s">
        <v>339</v>
      </c>
      <c r="M29" s="15" t="s">
        <v>340</v>
      </c>
      <c r="Y29" s="251"/>
      <c r="Z29" s="259"/>
      <c r="AA29" s="30" t="str">
        <f>IF(AB29="","",$D$4)</f>
        <v/>
      </c>
      <c r="AB29" s="120"/>
      <c r="AC29" s="69" t="str">
        <f t="shared" si="2"/>
        <v/>
      </c>
      <c r="AH29" s="15"/>
      <c r="AI29" s="15"/>
      <c r="AJ29" s="15"/>
      <c r="AK29" s="15"/>
      <c r="AL29" s="15"/>
    </row>
    <row r="30" spans="2:44" x14ac:dyDescent="0.25">
      <c r="B30" s="236"/>
      <c r="C30" s="241"/>
      <c r="D30" s="31"/>
      <c r="E30" s="130" t="str">
        <f>IF(I31="","",CONCATENATE("(",I31,")"))</f>
        <v/>
      </c>
      <c r="F30" s="109"/>
      <c r="H30" s="125" t="s">
        <v>298</v>
      </c>
      <c r="I30" s="91">
        <v>0</v>
      </c>
      <c r="Y30" s="251"/>
      <c r="Z30" s="259"/>
      <c r="AA30" s="30"/>
      <c r="AB30" s="120"/>
      <c r="AC30" s="69"/>
      <c r="AH30" s="15"/>
      <c r="AI30" s="15"/>
      <c r="AJ30" s="15"/>
      <c r="AK30" s="15"/>
      <c r="AL30" s="15"/>
    </row>
    <row r="31" spans="2:44" x14ac:dyDescent="0.25">
      <c r="B31" s="250" t="s">
        <v>92</v>
      </c>
      <c r="C31" s="261" t="s">
        <v>160</v>
      </c>
      <c r="D31" s="30" t="s">
        <v>152</v>
      </c>
      <c r="E31" s="80"/>
      <c r="F31" s="103" t="str">
        <f>IF(E31="Not scoring",0,IF(E31="","",1))</f>
        <v/>
      </c>
      <c r="H31" s="125" t="s">
        <v>335</v>
      </c>
      <c r="I31" s="91"/>
      <c r="J31" s="77" t="s">
        <v>342</v>
      </c>
      <c r="L31" s="15" t="s">
        <v>158</v>
      </c>
      <c r="M31" s="15" t="s">
        <v>161</v>
      </c>
      <c r="N31" s="15" t="s">
        <v>162</v>
      </c>
      <c r="O31" s="15" t="s">
        <v>163</v>
      </c>
      <c r="P31" s="15" t="s">
        <v>164</v>
      </c>
      <c r="Q31" s="15" t="s">
        <v>165</v>
      </c>
      <c r="R31" s="15" t="s">
        <v>166</v>
      </c>
      <c r="S31" s="15" t="s">
        <v>167</v>
      </c>
      <c r="T31" s="15" t="s">
        <v>226</v>
      </c>
      <c r="U31" s="20"/>
      <c r="Y31" s="252"/>
      <c r="Z31" s="238"/>
      <c r="AA31" s="30" t="str">
        <f>IF(AB31="","",$D$4)</f>
        <v/>
      </c>
      <c r="AB31" s="120"/>
      <c r="AC31" s="70" t="str">
        <f t="shared" si="2"/>
        <v/>
      </c>
      <c r="AH31" s="15"/>
      <c r="AI31" s="15"/>
      <c r="AJ31" s="15"/>
      <c r="AK31" s="15"/>
      <c r="AL31" s="15"/>
    </row>
    <row r="32" spans="2:44" x14ac:dyDescent="0.25">
      <c r="B32" s="251"/>
      <c r="C32" s="262"/>
      <c r="D32" s="30" t="str">
        <f>IF(E32="","",$D$4)</f>
        <v/>
      </c>
      <c r="E32" s="82"/>
      <c r="F32" s="103" t="str">
        <f>IF(E32="Not scoring",0,IF(E32="","",1))</f>
        <v/>
      </c>
      <c r="Y32" s="250" t="s">
        <v>139</v>
      </c>
      <c r="Z32" s="248" t="s">
        <v>136</v>
      </c>
      <c r="AA32" s="4" t="s">
        <v>152</v>
      </c>
      <c r="AB32" s="119"/>
      <c r="AC32" s="68" t="str">
        <f t="shared" si="2"/>
        <v/>
      </c>
      <c r="AH32" s="15" t="s">
        <v>158</v>
      </c>
      <c r="AI32" t="s">
        <v>291</v>
      </c>
      <c r="AJ32" t="s">
        <v>292</v>
      </c>
      <c r="AK32" s="20"/>
      <c r="AL32" s="15"/>
    </row>
    <row r="33" spans="2:38" x14ac:dyDescent="0.25">
      <c r="B33" s="251"/>
      <c r="C33" s="262"/>
      <c r="D33" s="30" t="str">
        <f>IF(E33="","",$D$4)</f>
        <v/>
      </c>
      <c r="E33" s="82"/>
      <c r="F33" s="103" t="str">
        <f>IF(E33="Not scoring",0,IF(E33="","",1))</f>
        <v/>
      </c>
      <c r="Y33" s="252"/>
      <c r="Z33" s="249"/>
      <c r="AA33" s="31" t="str">
        <f>IF(AB33="","",$D$4)</f>
        <v/>
      </c>
      <c r="AB33" s="121"/>
      <c r="AC33" s="70" t="str">
        <f t="shared" si="2"/>
        <v/>
      </c>
      <c r="AH33" s="15"/>
      <c r="AI33" s="15"/>
      <c r="AJ33" s="15"/>
      <c r="AK33" s="15"/>
      <c r="AL33" s="15"/>
    </row>
    <row r="34" spans="2:38" x14ac:dyDescent="0.25">
      <c r="B34" s="251"/>
      <c r="C34" s="262"/>
      <c r="D34" s="30" t="str">
        <f t="shared" ref="D34:D36" si="3">IF(E34="","",$D$4)</f>
        <v/>
      </c>
      <c r="E34" s="82"/>
      <c r="F34" s="103" t="str">
        <f t="shared" ref="F34:F36" si="4">IF(E34="Not scoring",0,IF(E34="","",1))</f>
        <v/>
      </c>
      <c r="Y34" s="253" t="s">
        <v>183</v>
      </c>
      <c r="Z34" s="254"/>
      <c r="AA34" s="254"/>
      <c r="AB34" s="254"/>
      <c r="AC34" s="255"/>
      <c r="AD34"/>
      <c r="AH34" s="15"/>
      <c r="AI34" s="15"/>
      <c r="AJ34" s="15"/>
      <c r="AK34" s="15"/>
      <c r="AL34" s="15"/>
    </row>
    <row r="35" spans="2:38" ht="28.5" x14ac:dyDescent="0.25">
      <c r="B35" s="251"/>
      <c r="C35" s="262"/>
      <c r="D35" s="30" t="str">
        <f t="shared" si="3"/>
        <v/>
      </c>
      <c r="E35" s="82"/>
      <c r="F35" s="103" t="str">
        <f t="shared" si="4"/>
        <v/>
      </c>
      <c r="Y35" s="64" t="s">
        <v>184</v>
      </c>
      <c r="Z35" s="11" t="s">
        <v>140</v>
      </c>
      <c r="AA35" s="4" t="s">
        <v>152</v>
      </c>
      <c r="AB35" s="5" t="s">
        <v>158</v>
      </c>
      <c r="AC35" s="68">
        <v>0</v>
      </c>
      <c r="AE35" s="1" t="s">
        <v>187</v>
      </c>
      <c r="AH35" s="15"/>
      <c r="AI35" s="15"/>
      <c r="AJ35" s="15"/>
      <c r="AK35" s="15"/>
      <c r="AL35" s="15"/>
    </row>
    <row r="36" spans="2:38" ht="30" x14ac:dyDescent="0.25">
      <c r="B36" s="252"/>
      <c r="C36" s="263"/>
      <c r="D36" s="31" t="str">
        <f t="shared" si="3"/>
        <v/>
      </c>
      <c r="E36" s="92"/>
      <c r="F36" s="104" t="str">
        <f t="shared" si="4"/>
        <v/>
      </c>
      <c r="Y36" s="235" t="s">
        <v>185</v>
      </c>
      <c r="Z36" s="237" t="s">
        <v>141</v>
      </c>
      <c r="AA36" s="4" t="s">
        <v>152</v>
      </c>
      <c r="AB36" s="178" t="s">
        <v>158</v>
      </c>
      <c r="AC36" s="180">
        <v>0</v>
      </c>
      <c r="AE36" s="126" t="s">
        <v>344</v>
      </c>
      <c r="AH36" s="15"/>
      <c r="AI36" s="15"/>
      <c r="AJ36" s="15"/>
      <c r="AK36" s="15"/>
      <c r="AL36" s="15"/>
    </row>
    <row r="37" spans="2:38" x14ac:dyDescent="0.25">
      <c r="B37" s="71" t="s">
        <v>93</v>
      </c>
      <c r="C37" s="72" t="s">
        <v>90</v>
      </c>
      <c r="D37" s="34" t="s">
        <v>152</v>
      </c>
      <c r="E37" s="116" t="str">
        <f>IF(I37=0,"Not scoring",CONCATENATE(I37,"% improvement over baseline"))</f>
        <v>Not scoring</v>
      </c>
      <c r="F37" s="161">
        <f>ROUND(I37*0.15,2)</f>
        <v>0</v>
      </c>
      <c r="H37" s="127" t="s">
        <v>330</v>
      </c>
      <c r="I37" s="93"/>
      <c r="Y37" s="236"/>
      <c r="Z37" s="238"/>
      <c r="AA37" s="31"/>
      <c r="AB37" s="179"/>
      <c r="AC37" s="181"/>
    </row>
    <row r="38" spans="2:38" x14ac:dyDescent="0.25">
      <c r="B38" s="71" t="s">
        <v>189</v>
      </c>
      <c r="C38" s="37" t="s">
        <v>190</v>
      </c>
      <c r="D38" s="34" t="s">
        <v>152</v>
      </c>
      <c r="E38" s="94"/>
      <c r="F38" s="102">
        <f>IF(E38=M38,1,0)</f>
        <v>0</v>
      </c>
      <c r="L38" s="15" t="s">
        <v>158</v>
      </c>
      <c r="M38" s="15" t="s">
        <v>228</v>
      </c>
      <c r="N38" s="20"/>
    </row>
    <row r="39" spans="2:38" ht="27.6" customHeight="1" x14ac:dyDescent="0.25">
      <c r="B39" s="250" t="s">
        <v>188</v>
      </c>
      <c r="C39" s="237" t="s">
        <v>191</v>
      </c>
      <c r="D39" s="4" t="s">
        <v>152</v>
      </c>
      <c r="E39" s="78"/>
      <c r="F39" s="105" t="str">
        <f>IF(E39="","",HLOOKUP(E39,$L$39:$Q$40,2,FALSE))</f>
        <v/>
      </c>
      <c r="L39" s="15" t="s">
        <v>158</v>
      </c>
      <c r="M39" s="15" t="s">
        <v>229</v>
      </c>
      <c r="N39" s="15" t="s">
        <v>230</v>
      </c>
      <c r="O39" s="29" t="str">
        <f>CONCATENATE("VAV fume hood with face velocity at ",I40,"m/s")</f>
        <v>VAV fume hood with face velocity at 0.54m/s</v>
      </c>
      <c r="P39" s="29" t="s">
        <v>296</v>
      </c>
      <c r="Q39" s="20"/>
    </row>
    <row r="40" spans="2:38" x14ac:dyDescent="0.25">
      <c r="B40" s="251"/>
      <c r="C40" s="259"/>
      <c r="D40" s="30" t="str">
        <f>IF(E40="","",$D$4)</f>
        <v/>
      </c>
      <c r="E40" s="80"/>
      <c r="F40" s="106" t="str">
        <f t="shared" ref="F40:F41" si="5">IF(E40="","",HLOOKUP(E40,$L$39:$Q$40,2,FALSE))</f>
        <v/>
      </c>
      <c r="H40" s="127" t="s">
        <v>231</v>
      </c>
      <c r="I40" s="85">
        <v>0.54</v>
      </c>
      <c r="M40" s="15">
        <v>0.5</v>
      </c>
      <c r="N40" s="15">
        <v>1</v>
      </c>
      <c r="O40" s="29">
        <f>(0.6-I40)/0.1</f>
        <v>0.59999999999999942</v>
      </c>
      <c r="P40" s="29">
        <v>1</v>
      </c>
    </row>
    <row r="41" spans="2:38" x14ac:dyDescent="0.25">
      <c r="B41" s="252"/>
      <c r="C41" s="259"/>
      <c r="D41" s="30" t="str">
        <f>IF(E41="","",$D$4)</f>
        <v/>
      </c>
      <c r="E41" s="80"/>
      <c r="F41" s="107" t="str">
        <f t="shared" si="5"/>
        <v/>
      </c>
      <c r="H41" s="175" t="str">
        <f>IF(OR(ISERROR(F39),ISERROR(F40),ISERROR(F41)),"Reselect dropdown if there is error.","")</f>
        <v/>
      </c>
      <c r="L41" s="15" t="s">
        <v>158</v>
      </c>
      <c r="M41" t="s">
        <v>232</v>
      </c>
      <c r="N41" t="str">
        <f>CONCATENATE("Provision of ",I42," energy efficient labelled equipment")</f>
        <v>Provision of 2 energy efficient labelled equipment</v>
      </c>
      <c r="O41" t="str">
        <f>CONCATENATE("Use of ",I43," energy efficient freezers for more than 80% of freezers")</f>
        <v>Use of Tier 1 energy efficient freezers for more than 80% of freezers</v>
      </c>
      <c r="P41" t="s">
        <v>233</v>
      </c>
      <c r="Q41" t="s">
        <v>234</v>
      </c>
      <c r="R41" t="str">
        <f>L43</f>
        <v>Freezer does not meet requirement. Ultra low freezer at 14.7kWh/litre/year</v>
      </c>
      <c r="S41" s="20"/>
    </row>
    <row r="42" spans="2:38" ht="42.75" x14ac:dyDescent="0.25">
      <c r="B42" s="242" t="s">
        <v>99</v>
      </c>
      <c r="C42" s="22" t="s">
        <v>196</v>
      </c>
      <c r="D42" s="4" t="s">
        <v>152</v>
      </c>
      <c r="E42" s="83"/>
      <c r="F42" s="110" t="str">
        <f>IF(OR(E42="Not scoring",E42=$L$43),0,IF(E42="","",HLOOKUP(E42,$L$41:$S$42,2,FALSE)))</f>
        <v/>
      </c>
      <c r="H42" s="125" t="s">
        <v>235</v>
      </c>
      <c r="I42" s="91">
        <v>2</v>
      </c>
      <c r="M42" s="15">
        <v>1</v>
      </c>
      <c r="N42" s="15">
        <f>I42*0.5</f>
        <v>1</v>
      </c>
      <c r="O42" s="15">
        <f>IF(I43=L45,1,IF(I43=M45,2,""))</f>
        <v>1</v>
      </c>
      <c r="P42" s="15">
        <v>1</v>
      </c>
      <c r="Q42">
        <v>1</v>
      </c>
      <c r="S42">
        <v>0</v>
      </c>
    </row>
    <row r="43" spans="2:38" x14ac:dyDescent="0.25">
      <c r="B43" s="243"/>
      <c r="C43" s="23"/>
      <c r="D43" s="30" t="str">
        <f t="shared" ref="D43:D44" si="6">IF(E43="","",$D$4)</f>
        <v/>
      </c>
      <c r="E43" s="86"/>
      <c r="F43" s="110" t="str">
        <f t="shared" ref="F43:F45" si="7">IF(OR(E43="Not scoring",E43=$L$43),0,IF(E43="","",HLOOKUP(E43,$L$41:$S$42,2,FALSE)))</f>
        <v/>
      </c>
      <c r="H43" s="125" t="s">
        <v>236</v>
      </c>
      <c r="I43" s="91" t="s">
        <v>237</v>
      </c>
      <c r="L43" t="s">
        <v>192</v>
      </c>
      <c r="M43"/>
      <c r="N43"/>
      <c r="O43"/>
      <c r="P43"/>
      <c r="R43" s="20"/>
    </row>
    <row r="44" spans="2:38" x14ac:dyDescent="0.25">
      <c r="B44" s="243"/>
      <c r="C44" s="23"/>
      <c r="D44" s="30" t="str">
        <f t="shared" si="6"/>
        <v/>
      </c>
      <c r="E44" s="86"/>
      <c r="F44" s="110" t="str">
        <f t="shared" si="7"/>
        <v/>
      </c>
      <c r="L44" s="15">
        <v>1</v>
      </c>
      <c r="M44">
        <v>2</v>
      </c>
      <c r="N44">
        <v>3</v>
      </c>
      <c r="O44">
        <v>4</v>
      </c>
      <c r="P44" s="20"/>
      <c r="R44" s="20"/>
    </row>
    <row r="45" spans="2:38" x14ac:dyDescent="0.25">
      <c r="B45" s="244"/>
      <c r="C45" s="24"/>
      <c r="D45" s="31" t="str">
        <f>IF(E45="","",$D$4)</f>
        <v/>
      </c>
      <c r="E45" s="88"/>
      <c r="F45" s="131" t="str">
        <f t="shared" si="7"/>
        <v/>
      </c>
      <c r="L45" s="15" t="s">
        <v>237</v>
      </c>
      <c r="M45" s="15" t="s">
        <v>238</v>
      </c>
      <c r="N45" s="20"/>
      <c r="P45"/>
      <c r="R45" s="20"/>
    </row>
    <row r="46" spans="2:38" ht="27.6" customHeight="1" x14ac:dyDescent="0.25">
      <c r="B46" s="250" t="s">
        <v>100</v>
      </c>
      <c r="C46" s="237" t="s">
        <v>102</v>
      </c>
      <c r="D46" s="4" t="s">
        <v>152</v>
      </c>
      <c r="E46" s="78"/>
      <c r="F46" s="102" t="str">
        <f>IF(E46="Not scoring",0,IF(E46="","",1))</f>
        <v/>
      </c>
      <c r="L46" s="15" t="s">
        <v>158</v>
      </c>
      <c r="M46" s="15" t="s">
        <v>239</v>
      </c>
      <c r="N46" s="15" t="s">
        <v>240</v>
      </c>
      <c r="O46" s="20"/>
    </row>
    <row r="47" spans="2:38" x14ac:dyDescent="0.25">
      <c r="B47" s="252"/>
      <c r="C47" s="238"/>
      <c r="D47" s="30" t="str">
        <f>IF(E47="","",$D$4)</f>
        <v/>
      </c>
      <c r="E47" s="80"/>
      <c r="F47" s="103" t="str">
        <f>IF(E47="Not scoring",0,IF(E47="","",1))</f>
        <v/>
      </c>
    </row>
    <row r="48" spans="2:38" x14ac:dyDescent="0.25">
      <c r="B48" s="235" t="s">
        <v>101</v>
      </c>
      <c r="C48" s="248" t="s">
        <v>103</v>
      </c>
      <c r="D48" s="4" t="s">
        <v>152</v>
      </c>
      <c r="E48" s="176" t="str">
        <f>CONCATENATE("EUI = ",IFERROR(ROUND('Lab EEI'!C32,2),"XX")," kWh/m",CHAR(178),"/yr, EEI = ",IFERROR(ROUND('Lab EEI'!C33,2),"XX")," kWh/m",CHAR(178),"/yr")</f>
        <v>EUI = XX kWh/m²/yr, EEI = XX kWh/m²/yr</v>
      </c>
      <c r="F48" s="102">
        <f>IF(E48="Not scoring",0,IF(E48="","",1))</f>
        <v>1</v>
      </c>
      <c r="H48" s="128" t="s">
        <v>187</v>
      </c>
    </row>
    <row r="49" spans="2:18" x14ac:dyDescent="0.25">
      <c r="B49" s="264"/>
      <c r="C49" s="265"/>
      <c r="D49" s="30" t="str">
        <f>IF(E49="","",$D$4)</f>
        <v/>
      </c>
      <c r="E49" s="80"/>
      <c r="F49" s="103" t="str">
        <f>IF(E49="","",HLOOKUP(E49,$L$49:$P$50,2,FALSE))</f>
        <v/>
      </c>
      <c r="H49" s="128" t="s">
        <v>343</v>
      </c>
      <c r="L49" s="15" t="s">
        <v>320</v>
      </c>
      <c r="M49" s="15" t="s">
        <v>321</v>
      </c>
      <c r="N49" s="15" t="s">
        <v>322</v>
      </c>
      <c r="O49" s="15" t="s">
        <v>323</v>
      </c>
    </row>
    <row r="50" spans="2:18" x14ac:dyDescent="0.25">
      <c r="B50" s="236"/>
      <c r="C50" s="265"/>
      <c r="D50" s="31" t="str">
        <f>IF(E50="","",$D$4)</f>
        <v/>
      </c>
      <c r="E50" s="88"/>
      <c r="F50" s="104"/>
      <c r="H50" s="128"/>
      <c r="L50" s="15">
        <v>2</v>
      </c>
      <c r="M50" s="15">
        <v>1</v>
      </c>
      <c r="N50" s="15">
        <v>0.5</v>
      </c>
      <c r="O50" s="15">
        <v>1</v>
      </c>
    </row>
    <row r="51" spans="2:18" x14ac:dyDescent="0.25">
      <c r="B51" s="253" t="s">
        <v>169</v>
      </c>
      <c r="C51" s="254"/>
      <c r="D51" s="254"/>
      <c r="E51" s="254"/>
      <c r="F51" s="255"/>
    </row>
    <row r="52" spans="2:18" x14ac:dyDescent="0.25">
      <c r="B52" s="7">
        <v>3.1</v>
      </c>
      <c r="C52" s="245" t="s">
        <v>107</v>
      </c>
      <c r="D52" s="246"/>
      <c r="E52" s="246"/>
      <c r="F52" s="246"/>
    </row>
    <row r="53" spans="2:18" ht="27.6" customHeight="1" x14ac:dyDescent="0.25">
      <c r="B53" s="250" t="s">
        <v>168</v>
      </c>
      <c r="C53" s="239" t="s">
        <v>112</v>
      </c>
      <c r="D53" s="4" t="s">
        <v>152</v>
      </c>
      <c r="E53" s="78"/>
      <c r="F53" s="102" t="str">
        <f>IF(E53="Not scoring",0,IF(E53="","",HLOOKUP(E53,$L$53:$R$54,2,FALSE)))</f>
        <v/>
      </c>
      <c r="L53" s="15" t="s">
        <v>158</v>
      </c>
      <c r="M53" s="15" t="s">
        <v>241</v>
      </c>
      <c r="N53" s="15" t="s">
        <v>311</v>
      </c>
      <c r="O53" s="15" t="s">
        <v>310</v>
      </c>
      <c r="P53" s="15" t="s">
        <v>242</v>
      </c>
      <c r="Q53" s="15" t="s">
        <v>243</v>
      </c>
      <c r="R53" s="20"/>
    </row>
    <row r="54" spans="2:18" x14ac:dyDescent="0.25">
      <c r="B54" s="251"/>
      <c r="C54" s="240"/>
      <c r="D54" s="30" t="str">
        <f t="shared" ref="D54" si="8">IF(E54="","",$D$4)</f>
        <v/>
      </c>
      <c r="E54" s="80"/>
      <c r="F54" s="106" t="str">
        <f>IF(E54="","",HLOOKUP(E54,$L$53:$R$54,2,FALSE))</f>
        <v/>
      </c>
      <c r="M54" s="26"/>
      <c r="N54" s="15">
        <v>2</v>
      </c>
      <c r="O54" s="15">
        <v>3</v>
      </c>
      <c r="P54" s="26">
        <v>1</v>
      </c>
      <c r="Q54">
        <v>1</v>
      </c>
    </row>
    <row r="55" spans="2:18" x14ac:dyDescent="0.25">
      <c r="B55" s="252"/>
      <c r="C55" s="241"/>
      <c r="D55" s="31" t="str">
        <f>IF(E55="","",$D$4)</f>
        <v/>
      </c>
      <c r="E55" s="81"/>
      <c r="F55" s="107" t="str">
        <f>IF(E55="","",HLOOKUP(E55,$L$53:$R$54,2,FALSE))</f>
        <v/>
      </c>
      <c r="L55" s="15" t="s">
        <v>158</v>
      </c>
      <c r="M55" s="15" t="s">
        <v>244</v>
      </c>
      <c r="N55" s="15" t="s">
        <v>245</v>
      </c>
      <c r="O55" s="15" t="s">
        <v>246</v>
      </c>
      <c r="P55" s="20"/>
    </row>
    <row r="56" spans="2:18" ht="27" x14ac:dyDescent="0.25">
      <c r="B56" s="71" t="s">
        <v>109</v>
      </c>
      <c r="C56" s="8" t="s">
        <v>204</v>
      </c>
      <c r="D56" s="31" t="s">
        <v>152</v>
      </c>
      <c r="E56" s="81"/>
      <c r="F56" s="105" t="str">
        <f>IF(E56="Not scoring",0,IF(E56="","",HLOOKUP(E56,$L$55:$P$56,2,FALSE)))</f>
        <v/>
      </c>
      <c r="M56" s="15">
        <v>0.5</v>
      </c>
      <c r="N56" s="15">
        <v>0.5</v>
      </c>
      <c r="O56" s="15">
        <v>1</v>
      </c>
    </row>
    <row r="57" spans="2:18" ht="27" x14ac:dyDescent="0.25">
      <c r="B57" s="71" t="s">
        <v>197</v>
      </c>
      <c r="C57" s="8" t="s">
        <v>205</v>
      </c>
      <c r="D57" s="34" t="s">
        <v>152</v>
      </c>
      <c r="E57" s="95"/>
      <c r="F57" s="102" t="str">
        <f>IF(E57="Not scoring",0,IF(E57="","",1))</f>
        <v/>
      </c>
      <c r="L57" s="15" t="s">
        <v>158</v>
      </c>
      <c r="M57" s="15" t="s">
        <v>247</v>
      </c>
      <c r="N57" s="20"/>
    </row>
    <row r="58" spans="2:18" ht="27" x14ac:dyDescent="0.25">
      <c r="B58" s="71" t="s">
        <v>198</v>
      </c>
      <c r="C58" s="8" t="s">
        <v>203</v>
      </c>
      <c r="D58" s="34" t="s">
        <v>152</v>
      </c>
      <c r="E58" s="95"/>
      <c r="F58" s="102" t="str">
        <f>IF(E58="Not scoring",0,IF(E58="","",1))</f>
        <v/>
      </c>
      <c r="H58" s="125" t="s">
        <v>250</v>
      </c>
      <c r="I58" s="91" t="s">
        <v>251</v>
      </c>
      <c r="J58" s="18"/>
      <c r="L58" s="15" t="s">
        <v>158</v>
      </c>
      <c r="M58" s="15" t="s">
        <v>248</v>
      </c>
      <c r="N58" s="15" t="s">
        <v>249</v>
      </c>
      <c r="O58" s="15" t="str">
        <f>CONCATENATE("Use of ",I58)</f>
        <v>Use of AHU condensate</v>
      </c>
      <c r="P58" s="20"/>
    </row>
    <row r="59" spans="2:18" x14ac:dyDescent="0.25">
      <c r="B59" s="7">
        <v>3.2</v>
      </c>
      <c r="C59" s="245" t="s">
        <v>116</v>
      </c>
      <c r="D59" s="256"/>
      <c r="E59" s="256"/>
      <c r="F59" s="256"/>
    </row>
    <row r="60" spans="2:18" ht="27" x14ac:dyDescent="0.25">
      <c r="B60" s="74" t="s">
        <v>199</v>
      </c>
      <c r="C60" s="73" t="s">
        <v>202</v>
      </c>
      <c r="D60" s="4" t="s">
        <v>152</v>
      </c>
      <c r="E60" s="96"/>
      <c r="F60" s="102" t="str">
        <f>IF(E60="Not scoring",0,IF(E60="","",2))</f>
        <v/>
      </c>
      <c r="L60" s="15" t="s">
        <v>158</v>
      </c>
      <c r="M60" s="15" t="s">
        <v>252</v>
      </c>
      <c r="N60" s="20"/>
    </row>
    <row r="61" spans="2:18" x14ac:dyDescent="0.25">
      <c r="B61" s="268" t="s">
        <v>200</v>
      </c>
      <c r="C61" s="266" t="s">
        <v>201</v>
      </c>
      <c r="D61" s="4" t="s">
        <v>152</v>
      </c>
      <c r="E61" s="97"/>
      <c r="F61" s="102"/>
      <c r="H61" s="128" t="s">
        <v>187</v>
      </c>
    </row>
    <row r="62" spans="2:18" x14ac:dyDescent="0.25">
      <c r="B62" s="269"/>
      <c r="C62" s="267"/>
      <c r="D62" s="30" t="str">
        <f>IF(E62="","",$D$4)</f>
        <v/>
      </c>
      <c r="E62" s="98"/>
      <c r="F62" s="103"/>
      <c r="H62" s="128" t="s">
        <v>343</v>
      </c>
    </row>
    <row r="63" spans="2:18" x14ac:dyDescent="0.25">
      <c r="B63" s="269"/>
      <c r="C63" s="267"/>
      <c r="D63" s="30"/>
      <c r="E63" s="98"/>
      <c r="F63" s="103"/>
      <c r="H63" s="128"/>
    </row>
    <row r="64" spans="2:18" x14ac:dyDescent="0.25">
      <c r="B64" s="270"/>
      <c r="C64" s="267"/>
      <c r="D64" s="31"/>
      <c r="E64" s="99"/>
      <c r="F64" s="104"/>
      <c r="H64" s="128"/>
    </row>
    <row r="65" spans="2:20" ht="27.6" customHeight="1" x14ac:dyDescent="0.25">
      <c r="B65" s="250" t="s">
        <v>170</v>
      </c>
      <c r="C65" s="237" t="s">
        <v>171</v>
      </c>
      <c r="D65" s="4" t="s">
        <v>152</v>
      </c>
      <c r="E65" s="97"/>
      <c r="F65" s="102" t="str">
        <f>IF(E65="Not scoring",0,IF(E65="","",1))</f>
        <v/>
      </c>
      <c r="L65" s="15" t="s">
        <v>158</v>
      </c>
      <c r="M65" s="15" t="s">
        <v>173</v>
      </c>
      <c r="N65" s="15" t="s">
        <v>172</v>
      </c>
      <c r="O65" s="20"/>
    </row>
    <row r="66" spans="2:20" x14ac:dyDescent="0.25">
      <c r="B66" s="252"/>
      <c r="C66" s="238"/>
      <c r="D66" s="31" t="str">
        <f>IF(E66="","",$D$4)</f>
        <v/>
      </c>
      <c r="E66" s="99"/>
      <c r="F66" s="104" t="str">
        <f>IF(E66="Not scoring",0,IF(E66="","",1))</f>
        <v/>
      </c>
    </row>
    <row r="67" spans="2:20" x14ac:dyDescent="0.25">
      <c r="B67" s="67">
        <v>3.3</v>
      </c>
      <c r="C67" s="257" t="s">
        <v>120</v>
      </c>
      <c r="D67" s="258"/>
      <c r="E67" s="258"/>
      <c r="F67" s="258"/>
    </row>
    <row r="68" spans="2:20" ht="28.9" customHeight="1" x14ac:dyDescent="0.25">
      <c r="B68" s="242" t="s">
        <v>174</v>
      </c>
      <c r="C68" s="239" t="s">
        <v>175</v>
      </c>
      <c r="D68" s="4" t="s">
        <v>152</v>
      </c>
      <c r="E68" s="96"/>
      <c r="F68" s="111" t="str">
        <f>IF(E68="","",HLOOKUP(E68,$L$68:$S$69,2,FALSE))</f>
        <v/>
      </c>
      <c r="L68" s="15" t="s">
        <v>158</v>
      </c>
      <c r="M68" s="15" t="s">
        <v>253</v>
      </c>
      <c r="N68" s="15" t="s">
        <v>254</v>
      </c>
      <c r="O68" s="15" t="s">
        <v>255</v>
      </c>
      <c r="P68" s="15" t="s">
        <v>256</v>
      </c>
      <c r="Q68" s="15" t="s">
        <v>257</v>
      </c>
      <c r="R68" s="15" t="s">
        <v>258</v>
      </c>
      <c r="S68" s="20"/>
    </row>
    <row r="69" spans="2:20" x14ac:dyDescent="0.25">
      <c r="B69" s="243"/>
      <c r="C69" s="240"/>
      <c r="D69" s="30" t="str">
        <f>IF(E69="","",$D$4)</f>
        <v/>
      </c>
      <c r="E69" s="100"/>
      <c r="F69" s="112" t="str">
        <f t="shared" ref="F69:F71" si="9">IF(E69="","",HLOOKUP(E69,$L$68:$S$69,2,FALSE))</f>
        <v/>
      </c>
      <c r="M69" s="15">
        <v>1</v>
      </c>
      <c r="N69" s="15">
        <v>2</v>
      </c>
      <c r="O69" s="15">
        <v>1</v>
      </c>
      <c r="P69" s="15">
        <v>1</v>
      </c>
      <c r="Q69" s="15">
        <v>1</v>
      </c>
      <c r="R69" s="15">
        <v>1</v>
      </c>
      <c r="S69" s="15"/>
      <c r="T69" s="15"/>
    </row>
    <row r="70" spans="2:20" x14ac:dyDescent="0.25">
      <c r="B70" s="243"/>
      <c r="C70" s="240"/>
      <c r="D70" s="30" t="str">
        <f>IF(E70="","",$D$4)</f>
        <v/>
      </c>
      <c r="E70" s="100"/>
      <c r="F70" s="112" t="str">
        <f t="shared" si="9"/>
        <v/>
      </c>
      <c r="Q70" s="15"/>
      <c r="R70" s="15"/>
      <c r="S70" s="15"/>
      <c r="T70" s="15"/>
    </row>
    <row r="71" spans="2:20" x14ac:dyDescent="0.25">
      <c r="B71" s="243"/>
      <c r="C71" s="240"/>
      <c r="D71" s="30" t="str">
        <f>IF(E71="","",$D$4)</f>
        <v/>
      </c>
      <c r="E71" s="100"/>
      <c r="F71" s="112" t="str">
        <f t="shared" si="9"/>
        <v/>
      </c>
      <c r="Q71" s="15"/>
      <c r="R71" s="15"/>
      <c r="S71" s="15"/>
      <c r="T71" s="15"/>
    </row>
    <row r="72" spans="2:20" x14ac:dyDescent="0.25">
      <c r="B72" s="244"/>
      <c r="C72" s="241"/>
      <c r="D72" s="31" t="str">
        <f>IF(E72="","",$D$4)</f>
        <v/>
      </c>
      <c r="E72" s="101"/>
      <c r="F72" s="107" t="str">
        <f t="shared" ref="F72" si="10">IF(E72="","",HLOOKUP(E72,$L$68:$S$69,2,FALSE))</f>
        <v/>
      </c>
      <c r="Q72" s="15"/>
      <c r="R72" s="15"/>
      <c r="S72" s="15"/>
      <c r="T72" s="15"/>
    </row>
    <row r="79" spans="2:20" ht="14.45" customHeight="1" x14ac:dyDescent="0.25"/>
    <row r="101" hidden="1" x14ac:dyDescent="0.25"/>
    <row r="102" ht="27.6" customHeight="1" x14ac:dyDescent="0.25"/>
    <row r="103" hidden="1" x14ac:dyDescent="0.25"/>
  </sheetData>
  <sheetProtection algorithmName="SHA-512" hashValue="/VnfaKNafBaxHSsaKlIRAwMEqSaBKLorbT+0pGoNADU31CY6qPlxToC0xLTQsTns+AJe3TFbDeNaPNs/SWB81w==" saltValue="JQ2kRr5LxbUsEEtT0g7WZQ==" spinCount="100000" sheet="1" selectLockedCells="1"/>
  <mergeCells count="65">
    <mergeCell ref="Y1:Z1"/>
    <mergeCell ref="AA1:AB1"/>
    <mergeCell ref="L2:U2"/>
    <mergeCell ref="B28:B30"/>
    <mergeCell ref="C28:C30"/>
    <mergeCell ref="B1:C1"/>
    <mergeCell ref="D1:E1"/>
    <mergeCell ref="B2:F2"/>
    <mergeCell ref="C3:F3"/>
    <mergeCell ref="C14:C16"/>
    <mergeCell ref="B26:F26"/>
    <mergeCell ref="C27:F27"/>
    <mergeCell ref="Y27:Y31"/>
    <mergeCell ref="C31:C36"/>
    <mergeCell ref="Y2:AC2"/>
    <mergeCell ref="Z3:AC3"/>
    <mergeCell ref="C61:C64"/>
    <mergeCell ref="B61:B64"/>
    <mergeCell ref="B4:B6"/>
    <mergeCell ref="C4:C6"/>
    <mergeCell ref="C11:C13"/>
    <mergeCell ref="B11:B13"/>
    <mergeCell ref="B17:B19"/>
    <mergeCell ref="C17:C19"/>
    <mergeCell ref="B21:B23"/>
    <mergeCell ref="C21:C23"/>
    <mergeCell ref="C52:F52"/>
    <mergeCell ref="C20:F20"/>
    <mergeCell ref="C7:F7"/>
    <mergeCell ref="B8:B10"/>
    <mergeCell ref="C8:C10"/>
    <mergeCell ref="B14:B16"/>
    <mergeCell ref="Z8:Z11"/>
    <mergeCell ref="Y8:Y11"/>
    <mergeCell ref="Y13:Y17"/>
    <mergeCell ref="Z13:Z17"/>
    <mergeCell ref="B51:F51"/>
    <mergeCell ref="B42:B45"/>
    <mergeCell ref="B39:B41"/>
    <mergeCell ref="C39:C41"/>
    <mergeCell ref="B46:B47"/>
    <mergeCell ref="C46:C47"/>
    <mergeCell ref="B48:B50"/>
    <mergeCell ref="C48:C50"/>
    <mergeCell ref="Z27:Z31"/>
    <mergeCell ref="B31:B36"/>
    <mergeCell ref="Z12:AC12"/>
    <mergeCell ref="Z19:Z23"/>
    <mergeCell ref="Y19:Y23"/>
    <mergeCell ref="Y36:Y37"/>
    <mergeCell ref="Z36:Z37"/>
    <mergeCell ref="C68:C72"/>
    <mergeCell ref="B68:B72"/>
    <mergeCell ref="Z24:AC24"/>
    <mergeCell ref="Z32:Z33"/>
    <mergeCell ref="C53:C55"/>
    <mergeCell ref="B53:B55"/>
    <mergeCell ref="B65:B66"/>
    <mergeCell ref="C65:C66"/>
    <mergeCell ref="Y34:AC34"/>
    <mergeCell ref="C59:F59"/>
    <mergeCell ref="C67:F67"/>
    <mergeCell ref="Y25:Y26"/>
    <mergeCell ref="Y32:Y33"/>
    <mergeCell ref="Z25:Z26"/>
  </mergeCells>
  <conditionalFormatting sqref="G107:G1048576 G3 G7 G20 G26:G27 G51:G52">
    <cfRule type="cellIs" dxfId="24" priority="9" operator="equal">
      <formula>"Inadequate"</formula>
    </cfRule>
    <cfRule type="cellIs" dxfId="23" priority="11" operator="equal">
      <formula>"KIV"</formula>
    </cfRule>
  </conditionalFormatting>
  <conditionalFormatting sqref="AI25:AJ25">
    <cfRule type="cellIs" dxfId="22" priority="7" operator="equal">
      <formula>"Inadequate"</formula>
    </cfRule>
    <cfRule type="cellIs" dxfId="21" priority="8" operator="equal">
      <formula>"KIV"</formula>
    </cfRule>
  </conditionalFormatting>
  <conditionalFormatting sqref="AI27:AL27">
    <cfRule type="cellIs" dxfId="20" priority="5" operator="equal">
      <formula>"Inadequate"</formula>
    </cfRule>
    <cfRule type="cellIs" dxfId="19" priority="6" operator="equal">
      <formula>"KIV"</formula>
    </cfRule>
  </conditionalFormatting>
  <conditionalFormatting sqref="AI32:AJ32">
    <cfRule type="cellIs" dxfId="18" priority="3" operator="equal">
      <formula>"Inadequate"</formula>
    </cfRule>
    <cfRule type="cellIs" dxfId="17" priority="4" operator="equal">
      <formula>"KIV"</formula>
    </cfRule>
  </conditionalFormatting>
  <conditionalFormatting sqref="AD107:AD1048576 AD3 AD51:AD52">
    <cfRule type="cellIs" dxfId="16" priority="1" operator="equal">
      <formula>"Inadequate"</formula>
    </cfRule>
    <cfRule type="cellIs" dxfId="15" priority="2" operator="equal">
      <formula>"KIV"</formula>
    </cfRule>
  </conditionalFormatting>
  <dataValidations count="78">
    <dataValidation type="list" allowBlank="1" showInputMessage="1" showErrorMessage="1" sqref="E4" xr:uid="{00000000-0002-0000-0200-000000000000}">
      <formula1>$L$4:$Q$4</formula1>
    </dataValidation>
    <dataValidation type="list" allowBlank="1" showInputMessage="1" showErrorMessage="1" sqref="E5" xr:uid="{00000000-0002-0000-0200-000001000000}">
      <formula1>$N$4:$Q$4</formula1>
    </dataValidation>
    <dataValidation type="list" allowBlank="1" showInputMessage="1" showErrorMessage="1" sqref="E6" xr:uid="{00000000-0002-0000-0200-000002000000}">
      <formula1>$O$4:$Q$4</formula1>
    </dataValidation>
    <dataValidation type="list" allowBlank="1" showInputMessage="1" showErrorMessage="1" sqref="E8" xr:uid="{00000000-0002-0000-0200-000003000000}">
      <formula1>$L$8:$Q$8</formula1>
    </dataValidation>
    <dataValidation type="list" allowBlank="1" showInputMessage="1" showErrorMessage="1" sqref="E9" xr:uid="{00000000-0002-0000-0200-000004000000}">
      <formula1>$N$8:$Q$8</formula1>
    </dataValidation>
    <dataValidation type="list" allowBlank="1" showInputMessage="1" showErrorMessage="1" sqref="E10" xr:uid="{00000000-0002-0000-0200-000005000000}">
      <formula1>$O$8:$Q$8</formula1>
    </dataValidation>
    <dataValidation type="list" allowBlank="1" showInputMessage="1" showErrorMessage="1" sqref="E11" xr:uid="{00000000-0002-0000-0200-000006000000}">
      <formula1>$L$11:$Q$11</formula1>
    </dataValidation>
    <dataValidation type="list" allowBlank="1" showInputMessage="1" showErrorMessage="1" sqref="E17" xr:uid="{00000000-0002-0000-0200-000007000000}">
      <formula1>$L$17:$P$17</formula1>
    </dataValidation>
    <dataValidation type="list" allowBlank="1" showInputMessage="1" showErrorMessage="1" sqref="E18" xr:uid="{00000000-0002-0000-0200-000008000000}">
      <formula1>$N$17:$P$17</formula1>
    </dataValidation>
    <dataValidation type="list" allowBlank="1" showInputMessage="1" showErrorMessage="1" sqref="E19" xr:uid="{00000000-0002-0000-0200-000009000000}">
      <formula1>$O$17:$P$17</formula1>
    </dataValidation>
    <dataValidation type="list" allowBlank="1" showInputMessage="1" showErrorMessage="1" sqref="E21:E22" xr:uid="{00000000-0002-0000-0200-00000A000000}">
      <formula1>$L$21:$R$21</formula1>
    </dataValidation>
    <dataValidation type="list" allowBlank="1" showInputMessage="1" showErrorMessage="1" sqref="E23" xr:uid="{00000000-0002-0000-0200-00000B000000}">
      <formula1>$N$21:$R$21</formula1>
    </dataValidation>
    <dataValidation type="list" allowBlank="1" showInputMessage="1" showErrorMessage="1" sqref="E24" xr:uid="{00000000-0002-0000-0200-00000C000000}">
      <formula1>$L$24:$P$24</formula1>
    </dataValidation>
    <dataValidation type="list" allowBlank="1" showInputMessage="1" showErrorMessage="1" sqref="E25" xr:uid="{00000000-0002-0000-0200-00000D000000}">
      <formula1>$N$24:$P$24</formula1>
    </dataValidation>
    <dataValidation type="list" allowBlank="1" showInputMessage="1" showErrorMessage="1" sqref="E31" xr:uid="{00000000-0002-0000-0200-00000E000000}">
      <formula1>$L$31:$U$31</formula1>
    </dataValidation>
    <dataValidation type="list" allowBlank="1" showInputMessage="1" showErrorMessage="1" sqref="E32" xr:uid="{00000000-0002-0000-0200-00000F000000}">
      <formula1>$N$31:$U$31</formula1>
    </dataValidation>
    <dataValidation type="list" allowBlank="1" showInputMessage="1" showErrorMessage="1" sqref="E33" xr:uid="{00000000-0002-0000-0200-000010000000}">
      <formula1>$O$31:$U$31</formula1>
    </dataValidation>
    <dataValidation type="list" allowBlank="1" showInputMessage="1" showErrorMessage="1" sqref="E34" xr:uid="{00000000-0002-0000-0200-000011000000}">
      <formula1>$P$31:$U$31</formula1>
    </dataValidation>
    <dataValidation type="list" allowBlank="1" showInputMessage="1" showErrorMessage="1" sqref="E35" xr:uid="{00000000-0002-0000-0200-000012000000}">
      <formula1>$Q$31:$U$31</formula1>
    </dataValidation>
    <dataValidation type="list" allowBlank="1" showInputMessage="1" showErrorMessage="1" sqref="E36" xr:uid="{00000000-0002-0000-0200-000013000000}">
      <formula1>$R$31:$U$31</formula1>
    </dataValidation>
    <dataValidation type="list" allowBlank="1" showInputMessage="1" showErrorMessage="1" sqref="E38" xr:uid="{00000000-0002-0000-0200-000014000000}">
      <formula1>$L$38:$N$38</formula1>
    </dataValidation>
    <dataValidation type="list" allowBlank="1" showInputMessage="1" showErrorMessage="1" sqref="I42" xr:uid="{00000000-0002-0000-0200-000015000000}">
      <formula1>$L$44:$P$44</formula1>
    </dataValidation>
    <dataValidation type="list" allowBlank="1" showInputMessage="1" showErrorMessage="1" sqref="I43" xr:uid="{00000000-0002-0000-0200-000016000000}">
      <formula1>$L$45:$N$45</formula1>
    </dataValidation>
    <dataValidation type="list" allowBlank="1" showInputMessage="1" showErrorMessage="1" sqref="E46" xr:uid="{00000000-0002-0000-0200-000017000000}">
      <formula1>$L$46:$O$46</formula1>
    </dataValidation>
    <dataValidation type="list" allowBlank="1" showInputMessage="1" showErrorMessage="1" sqref="E47" xr:uid="{00000000-0002-0000-0200-000018000000}">
      <formula1>$N$46:$O$46</formula1>
    </dataValidation>
    <dataValidation type="list" allowBlank="1" showInputMessage="1" showErrorMessage="1" sqref="E53" xr:uid="{00000000-0002-0000-0200-000019000000}">
      <formula1>$L$53:$R$53</formula1>
    </dataValidation>
    <dataValidation type="list" allowBlank="1" showInputMessage="1" showErrorMessage="1" sqref="E54" xr:uid="{00000000-0002-0000-0200-00001A000000}">
      <formula1>$P$53:$R$53</formula1>
    </dataValidation>
    <dataValidation type="list" allowBlank="1" showInputMessage="1" showErrorMessage="1" sqref="E55" xr:uid="{00000000-0002-0000-0200-00001B000000}">
      <formula1>$Q$53:$R$53</formula1>
    </dataValidation>
    <dataValidation type="list" allowBlank="1" showInputMessage="1" showErrorMessage="1" sqref="E56" xr:uid="{00000000-0002-0000-0200-00001C000000}">
      <formula1>$L$55:$P$55</formula1>
    </dataValidation>
    <dataValidation type="list" allowBlank="1" showInputMessage="1" showErrorMessage="1" sqref="E57" xr:uid="{00000000-0002-0000-0200-00001D000000}">
      <formula1>$L$57:$N$57</formula1>
    </dataValidation>
    <dataValidation type="list" allowBlank="1" showInputMessage="1" showErrorMessage="1" sqref="E58" xr:uid="{00000000-0002-0000-0200-00001E000000}">
      <formula1>$L$58:$P$58</formula1>
    </dataValidation>
    <dataValidation type="list" allowBlank="1" showInputMessage="1" showErrorMessage="1" sqref="E60" xr:uid="{00000000-0002-0000-0200-00001F000000}">
      <formula1>$L$60:$N$60</formula1>
    </dataValidation>
    <dataValidation type="list" allowBlank="1" showInputMessage="1" showErrorMessage="1" sqref="E65:E66" xr:uid="{00000000-0002-0000-0200-000020000000}">
      <formula1>$L$65:$O$65</formula1>
    </dataValidation>
    <dataValidation type="list" allowBlank="1" showInputMessage="1" showErrorMessage="1" sqref="E68" xr:uid="{00000000-0002-0000-0200-000021000000}">
      <formula1>$L$68:$S$68</formula1>
    </dataValidation>
    <dataValidation type="list" allowBlank="1" showInputMessage="1" showErrorMessage="1" sqref="E69" xr:uid="{00000000-0002-0000-0200-000022000000}">
      <formula1>$O$68:$S$68</formula1>
    </dataValidation>
    <dataValidation type="list" allowBlank="1" showInputMessage="1" showErrorMessage="1" sqref="E70" xr:uid="{00000000-0002-0000-0200-000023000000}">
      <formula1>$P$68:$S$68</formula1>
    </dataValidation>
    <dataValidation type="list" allowBlank="1" showInputMessage="1" showErrorMessage="1" sqref="E71" xr:uid="{00000000-0002-0000-0200-000024000000}">
      <formula1>$Q$68:$S$68</formula1>
    </dataValidation>
    <dataValidation type="list" allowBlank="1" showInputMessage="1" showErrorMessage="1" sqref="E72" xr:uid="{00000000-0002-0000-0200-000025000000}">
      <formula1>$R$68:$S$68</formula1>
    </dataValidation>
    <dataValidation type="list" allowBlank="1" showInputMessage="1" showErrorMessage="1" sqref="AB4" xr:uid="{00000000-0002-0000-0200-000026000000}">
      <formula1>$AH$4:$AO$4</formula1>
    </dataValidation>
    <dataValidation type="list" allowBlank="1" showInputMessage="1" showErrorMessage="1" sqref="AB5" xr:uid="{00000000-0002-0000-0200-000027000000}">
      <formula1>$AK$4:$AO$4</formula1>
    </dataValidation>
    <dataValidation type="list" allowBlank="1" showInputMessage="1" showErrorMessage="1" sqref="AB6" xr:uid="{00000000-0002-0000-0200-000028000000}">
      <formula1>$AL$4:$AO$4</formula1>
    </dataValidation>
    <dataValidation type="list" allowBlank="1" showInputMessage="1" showErrorMessage="1" sqref="AB7" xr:uid="{00000000-0002-0000-0200-000029000000}">
      <formula1>$AM$4:$AO$4</formula1>
    </dataValidation>
    <dataValidation type="list" allowBlank="1" showInputMessage="1" showErrorMessage="1" sqref="AB8" xr:uid="{00000000-0002-0000-0200-00002A000000}">
      <formula1>$AH$8:$AR$8</formula1>
    </dataValidation>
    <dataValidation type="list" allowBlank="1" showInputMessage="1" showErrorMessage="1" sqref="AB9" xr:uid="{00000000-0002-0000-0200-00002B000000}">
      <formula1>$AK$8:$AR$8</formula1>
    </dataValidation>
    <dataValidation type="list" allowBlank="1" showInputMessage="1" showErrorMessage="1" sqref="AB10" xr:uid="{00000000-0002-0000-0200-00002C000000}">
      <formula1>$AL$8:$AR$8</formula1>
    </dataValidation>
    <dataValidation type="list" allowBlank="1" showInputMessage="1" showErrorMessage="1" sqref="AB11" xr:uid="{00000000-0002-0000-0200-00002D000000}">
      <formula1>$AN$8:$AR$8</formula1>
    </dataValidation>
    <dataValidation type="list" allowBlank="1" showInputMessage="1" showErrorMessage="1" sqref="AB13" xr:uid="{00000000-0002-0000-0200-00002E000000}">
      <formula1>$AH$13:$AQ$13</formula1>
    </dataValidation>
    <dataValidation type="list" allowBlank="1" showInputMessage="1" showErrorMessage="1" sqref="AB14" xr:uid="{00000000-0002-0000-0200-00002F000000}">
      <formula1>$AK$13:$AQ$13</formula1>
    </dataValidation>
    <dataValidation type="list" allowBlank="1" showInputMessage="1" showErrorMessage="1" sqref="AB15" xr:uid="{00000000-0002-0000-0200-000030000000}">
      <formula1>$AL$13:$AQ$13</formula1>
    </dataValidation>
    <dataValidation type="list" allowBlank="1" showInputMessage="1" showErrorMessage="1" sqref="AB16" xr:uid="{00000000-0002-0000-0200-000031000000}">
      <formula1>$AM$13:$AQ$13</formula1>
    </dataValidation>
    <dataValidation type="list" allowBlank="1" showInputMessage="1" showErrorMessage="1" sqref="AB17" xr:uid="{00000000-0002-0000-0200-000032000000}">
      <formula1>$AN$13:$AQ$13</formula1>
    </dataValidation>
    <dataValidation type="list" allowBlank="1" showInputMessage="1" showErrorMessage="1" sqref="AB18" xr:uid="{00000000-0002-0000-0200-000033000000}">
      <formula1>$AH$18:$AK$18</formula1>
    </dataValidation>
    <dataValidation type="list" allowBlank="1" showInputMessage="1" showErrorMessage="1" sqref="AB19" xr:uid="{00000000-0002-0000-0200-000034000000}">
      <formula1>$AH$19:$AR$19</formula1>
    </dataValidation>
    <dataValidation type="list" allowBlank="1" showInputMessage="1" showErrorMessage="1" sqref="AB20" xr:uid="{00000000-0002-0000-0200-000035000000}">
      <formula1>$AJ$19:$AR$19</formula1>
    </dataValidation>
    <dataValidation type="list" allowBlank="1" showInputMessage="1" showErrorMessage="1" sqref="AB21" xr:uid="{00000000-0002-0000-0200-000036000000}">
      <formula1>$AL$19:$AR$19</formula1>
    </dataValidation>
    <dataValidation type="list" allowBlank="1" showInputMessage="1" showErrorMessage="1" sqref="AB22" xr:uid="{00000000-0002-0000-0200-000037000000}">
      <formula1>$AM$19:$AR$19</formula1>
    </dataValidation>
    <dataValidation type="list" allowBlank="1" showInputMessage="1" showErrorMessage="1" sqref="AB23" xr:uid="{00000000-0002-0000-0200-000038000000}">
      <formula1>$AN$19:$AR$19</formula1>
    </dataValidation>
    <dataValidation type="list" allowBlank="1" showInputMessage="1" showErrorMessage="1" sqref="AB25" xr:uid="{00000000-0002-0000-0200-000039000000}">
      <formula1>$AH$25:$AK$25</formula1>
    </dataValidation>
    <dataValidation type="list" allowBlank="1" showInputMessage="1" showErrorMessage="1" sqref="AB26" xr:uid="{00000000-0002-0000-0200-00003A000000}">
      <formula1>$AJ$25:$AK$25</formula1>
    </dataValidation>
    <dataValidation type="list" allowBlank="1" showInputMessage="1" showErrorMessage="1" sqref="AB27" xr:uid="{00000000-0002-0000-0200-00003B000000}">
      <formula1>$AH$27:$AM$27</formula1>
    </dataValidation>
    <dataValidation type="list" allowBlank="1" showInputMessage="1" showErrorMessage="1" sqref="AB28" xr:uid="{00000000-0002-0000-0200-00003C000000}">
      <formula1>$AJ$27:$AM$27</formula1>
    </dataValidation>
    <dataValidation type="list" allowBlank="1" showInputMessage="1" showErrorMessage="1" sqref="AB29:AB30" xr:uid="{00000000-0002-0000-0200-00003D000000}">
      <formula1>$AK$27:$AM$27</formula1>
    </dataValidation>
    <dataValidation type="list" allowBlank="1" showInputMessage="1" showErrorMessage="1" sqref="AB31" xr:uid="{00000000-0002-0000-0200-00003E000000}">
      <formula1>$AL$27:$AM$27</formula1>
    </dataValidation>
    <dataValidation type="list" allowBlank="1" showInputMessage="1" showErrorMessage="1" sqref="AB32" xr:uid="{00000000-0002-0000-0200-00003F000000}">
      <formula1>$AH$32:$AK$32</formula1>
    </dataValidation>
    <dataValidation type="list" allowBlank="1" showInputMessage="1" showErrorMessage="1" sqref="AB33" xr:uid="{00000000-0002-0000-0200-000040000000}">
      <formula1>$AJ$32:$AK$32</formula1>
    </dataValidation>
    <dataValidation type="list" allowBlank="1" showInputMessage="1" showErrorMessage="1" sqref="E39" xr:uid="{00000000-0002-0000-0200-000041000000}">
      <formula1>$L$39:$Q$39</formula1>
    </dataValidation>
    <dataValidation type="list" allowBlank="1" showInputMessage="1" showErrorMessage="1" sqref="E40" xr:uid="{00000000-0002-0000-0200-000042000000}">
      <formula1>$O$39:$Q$39</formula1>
    </dataValidation>
    <dataValidation type="list" allowBlank="1" showInputMessage="1" showErrorMessage="1" sqref="E41" xr:uid="{00000000-0002-0000-0200-000043000000}">
      <formula1>$P$39:$Q$39</formula1>
    </dataValidation>
    <dataValidation type="list" allowBlank="1" showInputMessage="1" showErrorMessage="1" sqref="E49" xr:uid="{00000000-0002-0000-0200-000044000000}">
      <formula1>$L$49:$P$49</formula1>
    </dataValidation>
    <dataValidation type="list" allowBlank="1" showInputMessage="1" showErrorMessage="1" sqref="E50" xr:uid="{00000000-0002-0000-0200-000045000000}">
      <formula1>$M$49:$P$49</formula1>
    </dataValidation>
    <dataValidation type="list" allowBlank="1" showInputMessage="1" showErrorMessage="1" sqref="I31" xr:uid="{00000000-0002-0000-0200-000046000000}">
      <formula1>$L$27:$P$27</formula1>
    </dataValidation>
    <dataValidation type="list" allowBlank="1" showInputMessage="1" showErrorMessage="1" sqref="I29" xr:uid="{00000000-0002-0000-0200-000047000000}">
      <formula1>$L$28:$M$28</formula1>
    </dataValidation>
    <dataValidation type="list" allowBlank="1" showInputMessage="1" showErrorMessage="1" sqref="I26 I28" xr:uid="{00000000-0002-0000-0200-000048000000}">
      <formula1>$L$29:$M$29</formula1>
    </dataValidation>
    <dataValidation type="list" allowBlank="1" showInputMessage="1" showErrorMessage="1" sqref="G4:G6 G8:G19 G21:G25 G28:G50 G53:G72 AD53:AD72 AD4:AD11 AD13:AD23 AD25:AD33 AD35:AD50" xr:uid="{00000000-0002-0000-0200-000049000000}">
      <formula1>$J$2:$J$4</formula1>
    </dataValidation>
    <dataValidation type="list" allowBlank="1" showInputMessage="1" showErrorMessage="1" sqref="E44" xr:uid="{00000000-0002-0000-0200-00004A000000}">
      <formula1>$O$41:$S$41</formula1>
    </dataValidation>
    <dataValidation type="list" allowBlank="1" showInputMessage="1" showErrorMessage="1" sqref="E45" xr:uid="{00000000-0002-0000-0200-00004B000000}">
      <formula1>$P$41:$S$41</formula1>
    </dataValidation>
    <dataValidation type="list" allowBlank="1" showInputMessage="1" showErrorMessage="1" sqref="E42" xr:uid="{00000000-0002-0000-0200-00004C000000}">
      <formula1>$L$41:$S$41</formula1>
    </dataValidation>
    <dataValidation type="list" allowBlank="1" showInputMessage="1" showErrorMessage="1" sqref="E43" xr:uid="{00000000-0002-0000-0200-00004D000000}">
      <formula1>$N$41:$S$41</formula1>
    </dataValidation>
  </dataValidations>
  <pageMargins left="0.51181102362204722" right="0.51181102362204722" top="0.47244094488188981" bottom="0.47244094488188981" header="0.23622047244094491" footer="0.23622047244094491"/>
  <pageSetup orientation="portrait" r:id="rId1"/>
  <headerFooter>
    <oddHeader>&amp;LGreen Mark for Laboratories: 2017</oddHeader>
    <oddFooter>&amp;C&amp;P+2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105"/>
  <sheetViews>
    <sheetView zoomScale="90" zoomScaleNormal="90" workbookViewId="0">
      <selection activeCell="D29" sqref="D29"/>
    </sheetView>
  </sheetViews>
  <sheetFormatPr defaultRowHeight="15" x14ac:dyDescent="0.25"/>
  <cols>
    <col min="2" max="2" width="25.7109375" customWidth="1"/>
    <col min="3" max="3" width="26.140625" customWidth="1"/>
    <col min="4" max="4" width="50.140625" customWidth="1"/>
    <col min="5" max="5" width="45.7109375" customWidth="1"/>
    <col min="6" max="6" width="27.42578125" bestFit="1" customWidth="1"/>
    <col min="7" max="7" width="32.42578125" bestFit="1" customWidth="1"/>
    <col min="8" max="8" width="31.140625" customWidth="1"/>
    <col min="9" max="9" width="31" customWidth="1"/>
    <col min="10" max="10" width="23" customWidth="1"/>
  </cols>
  <sheetData>
    <row r="1" spans="2:7" ht="20.25" x14ac:dyDescent="0.3">
      <c r="B1" s="162" t="s">
        <v>401</v>
      </c>
      <c r="D1" s="162"/>
      <c r="F1" s="163"/>
    </row>
    <row r="3" spans="2:7" ht="18" x14ac:dyDescent="0.25">
      <c r="B3" s="164" t="s">
        <v>402</v>
      </c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ht="15" customHeight="1" x14ac:dyDescent="0.25">
      <c r="B5" s="165" t="s">
        <v>403</v>
      </c>
      <c r="C5" s="166" t="s">
        <v>404</v>
      </c>
      <c r="D5" s="3"/>
    </row>
    <row r="6" spans="2:7" x14ac:dyDescent="0.25">
      <c r="B6" s="167" t="s">
        <v>405</v>
      </c>
      <c r="C6" s="168"/>
      <c r="D6" s="3"/>
    </row>
    <row r="7" spans="2:7" x14ac:dyDescent="0.25">
      <c r="B7" s="167" t="s">
        <v>406</v>
      </c>
      <c r="C7" s="168"/>
      <c r="D7" s="3"/>
    </row>
    <row r="8" spans="2:7" x14ac:dyDescent="0.25">
      <c r="B8" s="167" t="s">
        <v>407</v>
      </c>
      <c r="C8" s="168"/>
      <c r="D8" s="3"/>
    </row>
    <row r="9" spans="2:7" x14ac:dyDescent="0.25">
      <c r="B9" s="167" t="s">
        <v>408</v>
      </c>
      <c r="C9" s="168"/>
      <c r="D9" s="3"/>
    </row>
    <row r="10" spans="2:7" x14ac:dyDescent="0.25">
      <c r="B10" s="167" t="s">
        <v>409</v>
      </c>
      <c r="C10" s="168"/>
      <c r="D10" s="3"/>
    </row>
    <row r="11" spans="2:7" x14ac:dyDescent="0.25">
      <c r="B11" s="167" t="s">
        <v>410</v>
      </c>
      <c r="C11" s="168"/>
      <c r="D11" s="3"/>
    </row>
    <row r="12" spans="2:7" x14ac:dyDescent="0.25">
      <c r="B12" s="167" t="s">
        <v>411</v>
      </c>
      <c r="C12" s="168"/>
      <c r="D12" s="3"/>
    </row>
    <row r="13" spans="2:7" x14ac:dyDescent="0.25">
      <c r="B13" s="167" t="s">
        <v>412</v>
      </c>
      <c r="C13" s="168"/>
      <c r="D13" s="3"/>
    </row>
    <row r="14" spans="2:7" x14ac:dyDescent="0.25">
      <c r="B14" s="167" t="s">
        <v>413</v>
      </c>
      <c r="C14" s="168"/>
      <c r="D14" s="3"/>
    </row>
    <row r="15" spans="2:7" x14ac:dyDescent="0.25">
      <c r="B15" s="167" t="s">
        <v>414</v>
      </c>
      <c r="C15" s="168"/>
      <c r="D15" s="3"/>
    </row>
    <row r="16" spans="2:7" x14ac:dyDescent="0.25">
      <c r="B16" s="167" t="s">
        <v>415</v>
      </c>
      <c r="C16" s="168"/>
      <c r="D16" s="3"/>
    </row>
    <row r="17" spans="2:7" x14ac:dyDescent="0.25">
      <c r="B17" s="167" t="s">
        <v>416</v>
      </c>
      <c r="C17" s="168"/>
      <c r="D17" s="3"/>
    </row>
    <row r="18" spans="2:7" x14ac:dyDescent="0.25">
      <c r="B18" s="169" t="s">
        <v>417</v>
      </c>
      <c r="C18" s="170">
        <f t="shared" ref="C18" si="0">SUM(C6:C17)</f>
        <v>0</v>
      </c>
      <c r="D18" s="3"/>
    </row>
    <row r="19" spans="2:7" x14ac:dyDescent="0.25">
      <c r="B19" s="169" t="s">
        <v>418</v>
      </c>
      <c r="C19" s="170">
        <f t="shared" ref="C19" si="1">C18/12</f>
        <v>0</v>
      </c>
      <c r="D19" s="3"/>
    </row>
    <row r="20" spans="2:7" x14ac:dyDescent="0.25">
      <c r="B20" s="3"/>
      <c r="C20" s="171"/>
      <c r="D20" s="172"/>
      <c r="E20" s="172"/>
      <c r="F20" s="172"/>
      <c r="G20" s="3"/>
    </row>
    <row r="23" spans="2:7" ht="30" x14ac:dyDescent="0.25">
      <c r="B23" s="143" t="s">
        <v>354</v>
      </c>
      <c r="C23" s="144">
        <v>0</v>
      </c>
    </row>
    <row r="24" spans="2:7" ht="45" x14ac:dyDescent="0.25">
      <c r="B24" s="143" t="s">
        <v>419</v>
      </c>
      <c r="C24" s="144">
        <v>0</v>
      </c>
    </row>
    <row r="25" spans="2:7" ht="45" x14ac:dyDescent="0.25">
      <c r="B25" s="143" t="s">
        <v>355</v>
      </c>
      <c r="C25" s="144">
        <v>0</v>
      </c>
    </row>
    <row r="26" spans="2:7" x14ac:dyDescent="0.25">
      <c r="B26" s="145" t="s">
        <v>420</v>
      </c>
      <c r="C26" s="144">
        <v>168</v>
      </c>
    </row>
    <row r="27" spans="2:7" ht="45" x14ac:dyDescent="0.25">
      <c r="B27" s="146" t="s">
        <v>421</v>
      </c>
      <c r="C27" s="147">
        <f>C18</f>
        <v>0</v>
      </c>
    </row>
    <row r="28" spans="2:7" ht="100.5" x14ac:dyDescent="0.25">
      <c r="B28" s="146" t="s">
        <v>422</v>
      </c>
      <c r="C28" s="147">
        <f>188*0.65*C24+270*0.85*C25*168*52/1000</f>
        <v>0</v>
      </c>
      <c r="D28" s="151" t="s">
        <v>358</v>
      </c>
      <c r="E28" s="151" t="s">
        <v>359</v>
      </c>
    </row>
    <row r="29" spans="2:7" ht="45" x14ac:dyDescent="0.25">
      <c r="B29" s="146" t="s">
        <v>423</v>
      </c>
      <c r="C29" s="147">
        <f>C27-C28</f>
        <v>0</v>
      </c>
    </row>
    <row r="30" spans="2:7" x14ac:dyDescent="0.25">
      <c r="B30" s="3"/>
      <c r="C30" s="3"/>
    </row>
    <row r="31" spans="2:7" x14ac:dyDescent="0.25">
      <c r="B31" s="3"/>
      <c r="C31" s="3"/>
    </row>
    <row r="32" spans="2:7" ht="18" x14ac:dyDescent="0.25">
      <c r="B32" s="148" t="s">
        <v>424</v>
      </c>
      <c r="C32" s="149" t="str">
        <f>IFERROR(C29/C23,"")</f>
        <v/>
      </c>
      <c r="D32" s="150" t="s">
        <v>357</v>
      </c>
    </row>
    <row r="33" spans="2:7" ht="18" x14ac:dyDescent="0.25">
      <c r="B33" s="148" t="s">
        <v>356</v>
      </c>
      <c r="C33" s="149" t="str">
        <f>IFERROR((C29/C23)*(80/C26),"")</f>
        <v/>
      </c>
      <c r="D33" s="150" t="s">
        <v>357</v>
      </c>
    </row>
    <row r="34" spans="2:7" x14ac:dyDescent="0.25">
      <c r="E34" s="3"/>
      <c r="F34" s="3"/>
      <c r="G34" s="3"/>
    </row>
    <row r="35" spans="2:7" x14ac:dyDescent="0.25">
      <c r="B35" s="3"/>
      <c r="C35" s="3"/>
      <c r="D35" s="3"/>
      <c r="E35" s="3"/>
      <c r="F35" s="3"/>
      <c r="G35" s="3"/>
    </row>
    <row r="36" spans="2:7" x14ac:dyDescent="0.25">
      <c r="B36" s="3"/>
      <c r="C36" s="3"/>
      <c r="D36" s="3"/>
      <c r="E36" s="3"/>
      <c r="F36" s="3"/>
      <c r="G36" s="3"/>
    </row>
    <row r="37" spans="2:7" x14ac:dyDescent="0.25">
      <c r="B37" s="3"/>
      <c r="C37" s="3"/>
      <c r="D37" s="3"/>
      <c r="E37" s="3"/>
      <c r="F37" s="3"/>
      <c r="G37" s="3"/>
    </row>
    <row r="38" spans="2:7" x14ac:dyDescent="0.25">
      <c r="B38" s="3"/>
      <c r="C38" s="3"/>
      <c r="D38" s="3"/>
      <c r="E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3"/>
      <c r="F44" s="3"/>
      <c r="G44" s="3"/>
    </row>
    <row r="45" spans="2:7" x14ac:dyDescent="0.25">
      <c r="B45" s="3"/>
      <c r="C45" s="3"/>
      <c r="D45" s="3"/>
      <c r="E45" s="3"/>
      <c r="F45" s="3"/>
      <c r="G45" s="3"/>
    </row>
    <row r="46" spans="2:7" x14ac:dyDescent="0.25">
      <c r="B46" s="3"/>
      <c r="C46" s="3"/>
      <c r="D46" s="3"/>
      <c r="E46" s="3"/>
      <c r="F46" s="3"/>
      <c r="G46" s="3"/>
    </row>
    <row r="47" spans="2:7" x14ac:dyDescent="0.25">
      <c r="B47" s="3"/>
      <c r="C47" s="3"/>
      <c r="D47" s="3"/>
      <c r="E47" s="3"/>
      <c r="F47" s="3"/>
      <c r="G47" s="3"/>
    </row>
    <row r="48" spans="2:7" x14ac:dyDescent="0.25">
      <c r="B48" s="3"/>
      <c r="C48" s="3"/>
      <c r="D48" s="3"/>
      <c r="E48" s="3"/>
      <c r="F48" s="3"/>
      <c r="G48" s="3"/>
    </row>
    <row r="49" spans="2:7" x14ac:dyDescent="0.25">
      <c r="B49" s="3"/>
      <c r="C49" s="3"/>
      <c r="D49" s="3"/>
      <c r="E49" s="3"/>
      <c r="F49" s="3"/>
      <c r="G49" s="3"/>
    </row>
    <row r="50" spans="2:7" x14ac:dyDescent="0.25">
      <c r="B50" s="3"/>
      <c r="C50" s="3"/>
      <c r="D50" s="3"/>
      <c r="E50" s="3"/>
      <c r="F50" s="3"/>
      <c r="G50" s="3"/>
    </row>
    <row r="51" spans="2:7" x14ac:dyDescent="0.25">
      <c r="B51" s="3"/>
      <c r="C51" s="3"/>
      <c r="D51" s="3"/>
      <c r="E51" s="3"/>
      <c r="F51" s="3"/>
      <c r="G51" s="3"/>
    </row>
    <row r="52" spans="2:7" x14ac:dyDescent="0.25">
      <c r="B52" s="3"/>
      <c r="C52" s="3"/>
      <c r="D52" s="3"/>
      <c r="E52" s="3"/>
      <c r="F52" s="3"/>
      <c r="G52" s="3"/>
    </row>
    <row r="53" spans="2:7" x14ac:dyDescent="0.25">
      <c r="B53" s="3"/>
      <c r="C53" s="3"/>
      <c r="D53" s="3"/>
      <c r="E53" s="3"/>
      <c r="F53" s="3"/>
      <c r="G53" s="3"/>
    </row>
    <row r="54" spans="2:7" x14ac:dyDescent="0.25">
      <c r="B54" s="3"/>
      <c r="C54" s="3"/>
      <c r="D54" s="3"/>
      <c r="E54" s="3"/>
      <c r="F54" s="3"/>
      <c r="G54" s="3"/>
    </row>
    <row r="55" spans="2:7" x14ac:dyDescent="0.25">
      <c r="B55" s="3"/>
      <c r="C55" s="3"/>
      <c r="D55" s="3"/>
      <c r="E55" s="3"/>
      <c r="F55" s="3"/>
      <c r="G55" s="3"/>
    </row>
    <row r="56" spans="2:7" x14ac:dyDescent="0.25">
      <c r="B56" s="3"/>
      <c r="C56" s="3"/>
      <c r="D56" s="3"/>
      <c r="E56" s="3"/>
      <c r="F56" s="3"/>
      <c r="G56" s="3"/>
    </row>
    <row r="57" spans="2:7" x14ac:dyDescent="0.25">
      <c r="B57" s="3"/>
      <c r="C57" s="3"/>
      <c r="D57" s="3"/>
      <c r="E57" s="3"/>
      <c r="F57" s="3"/>
      <c r="G57" s="3"/>
    </row>
    <row r="58" spans="2:7" x14ac:dyDescent="0.25">
      <c r="B58" s="3"/>
      <c r="C58" s="3"/>
      <c r="D58" s="3"/>
      <c r="E58" s="3"/>
      <c r="F58" s="3"/>
      <c r="G58" s="3"/>
    </row>
    <row r="59" spans="2:7" x14ac:dyDescent="0.25">
      <c r="B59" s="3"/>
      <c r="C59" s="3"/>
      <c r="D59" s="3"/>
      <c r="E59" s="3"/>
      <c r="F59" s="3"/>
      <c r="G59" s="3"/>
    </row>
    <row r="60" spans="2:7" x14ac:dyDescent="0.25">
      <c r="B60" s="3"/>
      <c r="C60" s="3"/>
      <c r="D60" s="3"/>
      <c r="E60" s="3"/>
      <c r="F60" s="3"/>
      <c r="G60" s="3"/>
    </row>
    <row r="61" spans="2:7" x14ac:dyDescent="0.25">
      <c r="B61" s="3"/>
      <c r="C61" s="3"/>
      <c r="D61" s="3"/>
      <c r="E61" s="3"/>
      <c r="F61" s="3"/>
      <c r="G61" s="3"/>
    </row>
    <row r="62" spans="2:7" x14ac:dyDescent="0.25">
      <c r="B62" s="3"/>
      <c r="C62" s="3"/>
      <c r="D62" s="3"/>
      <c r="E62" s="3"/>
      <c r="F62" s="3"/>
      <c r="G62" s="3"/>
    </row>
    <row r="63" spans="2:7" x14ac:dyDescent="0.25">
      <c r="B63" s="3"/>
      <c r="C63" s="3"/>
      <c r="D63" s="3"/>
      <c r="E63" s="3"/>
      <c r="F63" s="3"/>
      <c r="G63" s="3"/>
    </row>
    <row r="64" spans="2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  <row r="82" spans="2:7" x14ac:dyDescent="0.25">
      <c r="B82" s="3"/>
      <c r="C82" s="3"/>
      <c r="D82" s="3"/>
      <c r="E82" s="3"/>
      <c r="F82" s="3"/>
      <c r="G82" s="3"/>
    </row>
    <row r="83" spans="2:7" x14ac:dyDescent="0.25">
      <c r="B83" s="3"/>
      <c r="C83" s="3"/>
      <c r="D83" s="3"/>
      <c r="E83" s="3"/>
      <c r="F83" s="3"/>
      <c r="G83" s="3"/>
    </row>
    <row r="84" spans="2:7" x14ac:dyDescent="0.25">
      <c r="B84" s="3"/>
      <c r="C84" s="3"/>
      <c r="D84" s="3"/>
      <c r="E84" s="3"/>
      <c r="F84" s="3"/>
      <c r="G84" s="3"/>
    </row>
    <row r="85" spans="2:7" x14ac:dyDescent="0.25">
      <c r="B85" s="3"/>
      <c r="C85" s="3"/>
      <c r="D85" s="3"/>
      <c r="E85" s="3"/>
      <c r="F85" s="3"/>
      <c r="G85" s="3"/>
    </row>
    <row r="86" spans="2:7" x14ac:dyDescent="0.25">
      <c r="B86" s="3"/>
      <c r="C86" s="3"/>
      <c r="D86" s="3"/>
      <c r="E86" s="3"/>
      <c r="F86" s="3"/>
      <c r="G86" s="3"/>
    </row>
    <row r="87" spans="2:7" x14ac:dyDescent="0.25">
      <c r="B87" s="3"/>
      <c r="C87" s="3"/>
      <c r="D87" s="3"/>
      <c r="E87" s="3"/>
      <c r="F87" s="3"/>
      <c r="G87" s="3"/>
    </row>
    <row r="88" spans="2:7" x14ac:dyDescent="0.25">
      <c r="B88" s="3"/>
      <c r="C88" s="3"/>
      <c r="D88" s="3"/>
      <c r="E88" s="3"/>
      <c r="F88" s="3"/>
      <c r="G88" s="3"/>
    </row>
    <row r="89" spans="2:7" x14ac:dyDescent="0.25">
      <c r="B89" s="3"/>
      <c r="C89" s="3"/>
      <c r="D89" s="3"/>
      <c r="E89" s="3"/>
      <c r="F89" s="3"/>
      <c r="G89" s="3"/>
    </row>
    <row r="90" spans="2:7" x14ac:dyDescent="0.25">
      <c r="B90" s="3"/>
      <c r="C90" s="3"/>
      <c r="D90" s="3"/>
      <c r="E90" s="3"/>
      <c r="F90" s="3"/>
      <c r="G90" s="3"/>
    </row>
    <row r="91" spans="2:7" x14ac:dyDescent="0.25">
      <c r="B91" s="3"/>
      <c r="C91" s="3"/>
      <c r="D91" s="3"/>
      <c r="E91" s="3"/>
      <c r="F91" s="3"/>
      <c r="G91" s="3"/>
    </row>
    <row r="92" spans="2:7" x14ac:dyDescent="0.25">
      <c r="B92" s="3"/>
      <c r="C92" s="3"/>
      <c r="D92" s="3"/>
      <c r="E92" s="3"/>
      <c r="F92" s="3"/>
      <c r="G92" s="3"/>
    </row>
    <row r="93" spans="2:7" x14ac:dyDescent="0.25">
      <c r="B93" s="3"/>
      <c r="C93" s="3"/>
      <c r="D93" s="3"/>
      <c r="E93" s="3"/>
      <c r="F93" s="3"/>
      <c r="G93" s="3"/>
    </row>
    <row r="94" spans="2:7" x14ac:dyDescent="0.25">
      <c r="B94" s="3"/>
      <c r="C94" s="3"/>
      <c r="D94" s="3"/>
      <c r="E94" s="3"/>
      <c r="F94" s="3"/>
      <c r="G94" s="3"/>
    </row>
    <row r="95" spans="2:7" x14ac:dyDescent="0.25">
      <c r="B95" s="3"/>
      <c r="C95" s="3"/>
      <c r="D95" s="3"/>
      <c r="E95" s="3"/>
      <c r="F95" s="3"/>
      <c r="G95" s="3"/>
    </row>
    <row r="96" spans="2:7" x14ac:dyDescent="0.25">
      <c r="B96" s="3"/>
      <c r="C96" s="3"/>
      <c r="D96" s="3"/>
      <c r="E96" s="3"/>
      <c r="F96" s="3"/>
      <c r="G96" s="3"/>
    </row>
    <row r="97" spans="2:7" x14ac:dyDescent="0.25">
      <c r="B97" s="3"/>
      <c r="C97" s="3"/>
      <c r="D97" s="3"/>
      <c r="E97" s="3"/>
      <c r="F97" s="3"/>
      <c r="G97" s="3"/>
    </row>
    <row r="98" spans="2:7" x14ac:dyDescent="0.25">
      <c r="B98" s="3"/>
      <c r="C98" s="3"/>
      <c r="D98" s="3"/>
      <c r="E98" s="3"/>
      <c r="F98" s="3"/>
      <c r="G98" s="3"/>
    </row>
    <row r="99" spans="2:7" x14ac:dyDescent="0.25">
      <c r="B99" s="3"/>
      <c r="C99" s="3"/>
      <c r="D99" s="3"/>
      <c r="E99" s="3"/>
      <c r="F99" s="3"/>
      <c r="G99" s="3"/>
    </row>
    <row r="100" spans="2:7" x14ac:dyDescent="0.25">
      <c r="B100" s="3"/>
      <c r="C100" s="3"/>
      <c r="D100" s="3"/>
      <c r="E100" s="3"/>
      <c r="F100" s="3"/>
      <c r="G100" s="3"/>
    </row>
    <row r="101" spans="2:7" x14ac:dyDescent="0.25">
      <c r="B101" s="3"/>
      <c r="C101" s="3"/>
      <c r="D101" s="3"/>
      <c r="E101" s="3"/>
      <c r="F101" s="3"/>
      <c r="G101" s="3"/>
    </row>
    <row r="102" spans="2:7" x14ac:dyDescent="0.25">
      <c r="B102" s="3"/>
      <c r="C102" s="3"/>
      <c r="D102" s="3"/>
      <c r="E102" s="3"/>
      <c r="F102" s="3"/>
      <c r="G102" s="3"/>
    </row>
    <row r="103" spans="2:7" x14ac:dyDescent="0.25">
      <c r="B103" s="3"/>
      <c r="C103" s="3"/>
      <c r="D103" s="3"/>
      <c r="E103" s="3"/>
      <c r="F103" s="3"/>
      <c r="G103" s="3"/>
    </row>
    <row r="104" spans="2:7" x14ac:dyDescent="0.25">
      <c r="B104" s="3"/>
      <c r="C104" s="3"/>
      <c r="D104" s="3"/>
      <c r="E104" s="3"/>
      <c r="F104" s="3"/>
      <c r="G104" s="3"/>
    </row>
    <row r="105" spans="2:7" x14ac:dyDescent="0.25">
      <c r="B105" s="3"/>
      <c r="C105" s="3"/>
      <c r="D105" s="3"/>
      <c r="E105" s="3"/>
      <c r="F105" s="3"/>
      <c r="G105" s="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1"/>
  <sheetViews>
    <sheetView workbookViewId="0">
      <selection activeCell="C5" sqref="C5"/>
    </sheetView>
  </sheetViews>
  <sheetFormatPr defaultRowHeight="15" x14ac:dyDescent="0.25"/>
  <cols>
    <col min="1" max="1" width="32.5703125" bestFit="1" customWidth="1"/>
    <col min="3" max="3" width="11.7109375" bestFit="1" customWidth="1"/>
    <col min="4" max="4" width="34.85546875" customWidth="1"/>
    <col min="5" max="5" width="21.28515625" customWidth="1"/>
    <col min="6" max="6" width="18.7109375" customWidth="1"/>
  </cols>
  <sheetData>
    <row r="1" spans="1:12" ht="15" customHeight="1" x14ac:dyDescent="0.25">
      <c r="A1" s="285" t="s">
        <v>360</v>
      </c>
      <c r="B1" s="285"/>
      <c r="C1" s="285"/>
      <c r="D1" s="286" t="s">
        <v>361</v>
      </c>
      <c r="E1" s="287"/>
    </row>
    <row r="2" spans="1:12" x14ac:dyDescent="0.25">
      <c r="A2" s="288" t="s">
        <v>362</v>
      </c>
      <c r="B2" s="152"/>
      <c r="C2" s="174"/>
      <c r="D2" s="153" t="s">
        <v>363</v>
      </c>
      <c r="E2" s="157"/>
      <c r="L2" t="b">
        <v>0</v>
      </c>
    </row>
    <row r="3" spans="1:12" x14ac:dyDescent="0.25">
      <c r="A3" s="289"/>
      <c r="B3" s="152"/>
      <c r="C3" s="174"/>
      <c r="D3" s="153" t="s">
        <v>364</v>
      </c>
      <c r="E3" s="157"/>
      <c r="L3" t="b">
        <v>0</v>
      </c>
    </row>
    <row r="4" spans="1:12" x14ac:dyDescent="0.25">
      <c r="A4" s="289"/>
      <c r="B4" s="154"/>
      <c r="C4" s="174"/>
      <c r="D4" s="153" t="s">
        <v>365</v>
      </c>
      <c r="E4" s="177">
        <f>'Lab EEI'!C29</f>
        <v>0</v>
      </c>
    </row>
    <row r="5" spans="1:12" x14ac:dyDescent="0.25">
      <c r="A5" s="290" t="s">
        <v>366</v>
      </c>
      <c r="B5" s="290"/>
      <c r="C5" s="159"/>
      <c r="D5" s="155" t="s">
        <v>367</v>
      </c>
      <c r="E5" s="159">
        <f>'Lab EEI'!C26</f>
        <v>168</v>
      </c>
    </row>
    <row r="6" spans="1:12" x14ac:dyDescent="0.25">
      <c r="A6" s="290" t="s">
        <v>368</v>
      </c>
      <c r="B6" s="290"/>
      <c r="C6" s="159"/>
      <c r="D6" s="155" t="s">
        <v>369</v>
      </c>
      <c r="E6" s="177" t="str">
        <f>'Lab EEI'!C32</f>
        <v/>
      </c>
    </row>
    <row r="7" spans="1:12" x14ac:dyDescent="0.25">
      <c r="A7" s="290" t="s">
        <v>370</v>
      </c>
      <c r="B7" s="290"/>
      <c r="C7" s="159"/>
      <c r="D7" s="155" t="s">
        <v>371</v>
      </c>
      <c r="E7" s="177" t="str">
        <f>'Lab EEI'!C33</f>
        <v/>
      </c>
    </row>
    <row r="8" spans="1:12" x14ac:dyDescent="0.25">
      <c r="A8" s="290" t="s">
        <v>372</v>
      </c>
      <c r="B8" s="290"/>
      <c r="C8" s="159"/>
      <c r="D8" s="287" t="s">
        <v>373</v>
      </c>
      <c r="E8" s="285"/>
    </row>
    <row r="9" spans="1:12" x14ac:dyDescent="0.25">
      <c r="A9" s="290" t="s">
        <v>427</v>
      </c>
      <c r="B9" s="290"/>
      <c r="C9" s="159"/>
      <c r="D9" s="155" t="s">
        <v>374</v>
      </c>
      <c r="E9" s="159"/>
    </row>
    <row r="10" spans="1:12" x14ac:dyDescent="0.25">
      <c r="A10" s="290" t="s">
        <v>375</v>
      </c>
      <c r="B10" s="290"/>
      <c r="C10" s="159"/>
      <c r="D10" s="155" t="s">
        <v>376</v>
      </c>
      <c r="E10" s="159"/>
    </row>
    <row r="11" spans="1:12" x14ac:dyDescent="0.25">
      <c r="A11" s="283" t="s">
        <v>377</v>
      </c>
      <c r="B11" s="284"/>
      <c r="C11" s="159"/>
      <c r="D11" s="155" t="s">
        <v>398</v>
      </c>
      <c r="E11" s="157"/>
    </row>
    <row r="12" spans="1:12" x14ac:dyDescent="0.25">
      <c r="A12" s="283" t="s">
        <v>378</v>
      </c>
      <c r="B12" s="284"/>
      <c r="C12" s="159"/>
      <c r="D12" s="153" t="s">
        <v>379</v>
      </c>
      <c r="E12" s="158"/>
    </row>
    <row r="13" spans="1:12" x14ac:dyDescent="0.25">
      <c r="D13" s="153" t="s">
        <v>380</v>
      </c>
      <c r="E13" s="157"/>
    </row>
    <row r="14" spans="1:12" x14ac:dyDescent="0.25">
      <c r="D14" s="153" t="s">
        <v>425</v>
      </c>
      <c r="E14" s="157"/>
      <c r="F14" t="s">
        <v>426</v>
      </c>
    </row>
    <row r="30" spans="1:23" x14ac:dyDescent="0.25">
      <c r="A30" s="156" t="s">
        <v>382</v>
      </c>
      <c r="B30" s="156" t="s">
        <v>383</v>
      </c>
      <c r="C30" s="156" t="s">
        <v>384</v>
      </c>
      <c r="D30" s="156" t="s">
        <v>385</v>
      </c>
      <c r="E30" s="156" t="s">
        <v>386</v>
      </c>
      <c r="F30" s="156" t="s">
        <v>387</v>
      </c>
      <c r="G30" s="156" t="s">
        <v>388</v>
      </c>
      <c r="H30" s="156" t="s">
        <v>389</v>
      </c>
      <c r="I30" s="156" t="s">
        <v>390</v>
      </c>
      <c r="J30" s="156" t="s">
        <v>391</v>
      </c>
      <c r="K30" s="156" t="s">
        <v>392</v>
      </c>
      <c r="L30" s="156" t="s">
        <v>393</v>
      </c>
      <c r="M30" s="156" t="s">
        <v>394</v>
      </c>
      <c r="N30" s="156" t="s">
        <v>365</v>
      </c>
      <c r="O30" s="156" t="s">
        <v>395</v>
      </c>
      <c r="P30" s="156" t="s">
        <v>396</v>
      </c>
      <c r="Q30" s="156" t="s">
        <v>397</v>
      </c>
      <c r="R30" s="156" t="s">
        <v>374</v>
      </c>
      <c r="S30" s="156" t="s">
        <v>376</v>
      </c>
      <c r="T30" s="156" t="s">
        <v>398</v>
      </c>
      <c r="U30" s="156" t="s">
        <v>399</v>
      </c>
      <c r="V30" s="156" t="s">
        <v>400</v>
      </c>
      <c r="W30" s="156" t="s">
        <v>381</v>
      </c>
    </row>
    <row r="31" spans="1:23" x14ac:dyDescent="0.25">
      <c r="A31" s="152">
        <f>C2</f>
        <v>0</v>
      </c>
      <c r="B31" s="152">
        <f>C3</f>
        <v>0</v>
      </c>
      <c r="C31" s="152" t="str">
        <f>CONCATENATE(IF(A31&gt;0,CONCATENATE(A30," ",A31),""),IF(AND(A31&gt;0,B31&gt;0),",",""),IF(B31&gt;0,CONCATENATE(B30," ",B31),""))</f>
        <v/>
      </c>
      <c r="D31" s="152">
        <f>C5</f>
        <v>0</v>
      </c>
      <c r="E31" s="152">
        <f>C6</f>
        <v>0</v>
      </c>
      <c r="F31" s="152">
        <f>C7</f>
        <v>0</v>
      </c>
      <c r="G31" s="152">
        <f>C8</f>
        <v>0</v>
      </c>
      <c r="H31" s="152">
        <f>C9</f>
        <v>0</v>
      </c>
      <c r="I31" s="152">
        <f>C10</f>
        <v>0</v>
      </c>
      <c r="J31" s="152">
        <f>C11</f>
        <v>0</v>
      </c>
      <c r="K31" s="152">
        <f>C12</f>
        <v>0</v>
      </c>
      <c r="L31" s="152">
        <f>E2</f>
        <v>0</v>
      </c>
      <c r="M31" s="152">
        <f>E3</f>
        <v>0</v>
      </c>
      <c r="N31" s="152">
        <f>E4</f>
        <v>0</v>
      </c>
      <c r="O31" s="152">
        <f>E5</f>
        <v>168</v>
      </c>
      <c r="P31" s="152" t="str">
        <f>E6</f>
        <v/>
      </c>
      <c r="Q31" s="152" t="str">
        <f>E7</f>
        <v/>
      </c>
      <c r="R31" s="152">
        <f>E9</f>
        <v>0</v>
      </c>
      <c r="S31" s="152">
        <f>E10</f>
        <v>0</v>
      </c>
      <c r="T31" s="152">
        <f>E11</f>
        <v>0</v>
      </c>
      <c r="U31" s="152">
        <f>E12</f>
        <v>0</v>
      </c>
      <c r="V31" s="152">
        <f>E13</f>
        <v>0</v>
      </c>
      <c r="W31" s="152">
        <f>E14</f>
        <v>0</v>
      </c>
    </row>
  </sheetData>
  <mergeCells count="12">
    <mergeCell ref="A12:B12"/>
    <mergeCell ref="A1:C1"/>
    <mergeCell ref="D1:E1"/>
    <mergeCell ref="A2:A4"/>
    <mergeCell ref="A5:B5"/>
    <mergeCell ref="A6:B6"/>
    <mergeCell ref="A7:B7"/>
    <mergeCell ref="A8:B8"/>
    <mergeCell ref="D8:E8"/>
    <mergeCell ref="A9:B9"/>
    <mergeCell ref="A10:B10"/>
    <mergeCell ref="A11:B11"/>
  </mergeCells>
  <conditionalFormatting sqref="E2:E7">
    <cfRule type="cellIs" dxfId="14" priority="24" operator="equal">
      <formula>0</formula>
    </cfRule>
  </conditionalFormatting>
  <conditionalFormatting sqref="E2 E6">
    <cfRule type="expression" dxfId="13" priority="23">
      <formula>ISNUMBER(E2)</formula>
    </cfRule>
  </conditionalFormatting>
  <conditionalFormatting sqref="E3 E7">
    <cfRule type="expression" dxfId="12" priority="22">
      <formula>ISNUMBER(E3)</formula>
    </cfRule>
  </conditionalFormatting>
  <conditionalFormatting sqref="E4">
    <cfRule type="expression" dxfId="11" priority="21">
      <formula>ISNUMBER(E4)</formula>
    </cfRule>
  </conditionalFormatting>
  <conditionalFormatting sqref="E5">
    <cfRule type="expression" dxfId="10" priority="20">
      <formula>ISNUMBER(E5)</formula>
    </cfRule>
  </conditionalFormatting>
  <conditionalFormatting sqref="E9:E10">
    <cfRule type="cellIs" dxfId="9" priority="17" operator="equal">
      <formula>0</formula>
    </cfRule>
  </conditionalFormatting>
  <conditionalFormatting sqref="E9:E10">
    <cfRule type="expression" dxfId="8" priority="16">
      <formula>ISNUMBER(E9)</formula>
    </cfRule>
  </conditionalFormatting>
  <conditionalFormatting sqref="E11:E13">
    <cfRule type="cellIs" dxfId="7" priority="15" operator="equal">
      <formula>0</formula>
    </cfRule>
  </conditionalFormatting>
  <conditionalFormatting sqref="E11:E13">
    <cfRule type="expression" dxfId="6" priority="14">
      <formula>ISNUMBER(E11)</formula>
    </cfRule>
  </conditionalFormatting>
  <conditionalFormatting sqref="E14">
    <cfRule type="cellIs" dxfId="5" priority="13" operator="equal">
      <formula>0</formula>
    </cfRule>
  </conditionalFormatting>
  <conditionalFormatting sqref="E14">
    <cfRule type="expression" dxfId="4" priority="12">
      <formula>ISNUMBER(E14)</formula>
    </cfRule>
  </conditionalFormatting>
  <conditionalFormatting sqref="C2">
    <cfRule type="expression" dxfId="3" priority="11">
      <formula>IF(AND($L$2,$C$2=0),"True","false")</formula>
    </cfRule>
  </conditionalFormatting>
  <conditionalFormatting sqref="C3">
    <cfRule type="expression" dxfId="2" priority="10">
      <formula>IF(AND($L$3,$C$3=0),"True","false")</formula>
    </cfRule>
  </conditionalFormatting>
  <conditionalFormatting sqref="C5:C12">
    <cfRule type="cellIs" dxfId="1" priority="3" operator="equal">
      <formula>0</formula>
    </cfRule>
  </conditionalFormatting>
  <conditionalFormatting sqref="C5:C12">
    <cfRule type="expression" dxfId="0" priority="2">
      <formula>ISNUMBER(C5)</formula>
    </cfRule>
  </conditionalFormatting>
  <dataValidations count="2">
    <dataValidation allowBlank="1" showInputMessage="1" showErrorMessage="1" prompt="Indicate CDSL Value" sqref="C3" xr:uid="{00000000-0002-0000-0400-000000000000}"/>
    <dataValidation allowBlank="1" showInputMessage="1" showErrorMessage="1" prompt="Indicate BSL Value" sqref="C2" xr:uid="{00000000-0002-0000-0400-000001000000}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0</xdr:row>
                    <xdr:rowOff>180975</xdr:rowOff>
                  </from>
                  <to>
                    <xdr:col>1</xdr:col>
                    <xdr:colOff>466725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1</xdr:row>
                    <xdr:rowOff>171450</xdr:rowOff>
                  </from>
                  <to>
                    <xdr:col>1</xdr:col>
                    <xdr:colOff>466725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3</xdr:row>
                    <xdr:rowOff>0</xdr:rowOff>
                  </from>
                  <to>
                    <xdr:col>1</xdr:col>
                    <xdr:colOff>466725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Revision Tracking</vt:lpstr>
      <vt:lpstr>Cover Page</vt:lpstr>
      <vt:lpstr>Scoring</vt:lpstr>
      <vt:lpstr>Lab EEI</vt:lpstr>
      <vt:lpstr>Additional Info</vt:lpstr>
      <vt:lpstr>'Cover Page'!Print_Area</vt:lpstr>
      <vt:lpstr>Scoring!Print_Area</vt:lpstr>
      <vt:lpstr>Scoring!Print_Titles</vt:lpstr>
    </vt:vector>
  </TitlesOfParts>
  <Company>WOG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Yock Keng LEOW (BCA)</dc:creator>
  <cp:lastModifiedBy>Yock Keng LEOW (BCA)</cp:lastModifiedBy>
  <cp:lastPrinted>2019-11-02T16:29:24Z</cp:lastPrinted>
  <dcterms:created xsi:type="dcterms:W3CDTF">2017-02-22T07:15:50Z</dcterms:created>
  <dcterms:modified xsi:type="dcterms:W3CDTF">2020-06-15T11:44:25Z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51e0fc-1c37-41ff-9297-afacea94f5a0_Enabled">
    <vt:lpwstr>True</vt:lpwstr>
  </property>
  <property fmtid="{D5CDD505-2E9C-101B-9397-08002B2CF9AE}" pid="3" name="MSIP_Label_cb51e0fc-1c37-41ff-9297-afacea94f5a0_SiteId">
    <vt:lpwstr>0b11c524-9a1c-4e1b-84cb-6336aefc2243</vt:lpwstr>
  </property>
  <property fmtid="{D5CDD505-2E9C-101B-9397-08002B2CF9AE}" pid="4" name="MSIP_Label_cb51e0fc-1c37-41ff-9297-afacea94f5a0_Owner">
    <vt:lpwstr>LEOW_Yock_Keng@bca.gov.sg</vt:lpwstr>
  </property>
  <property fmtid="{D5CDD505-2E9C-101B-9397-08002B2CF9AE}" pid="5" name="MSIP_Label_cb51e0fc-1c37-41ff-9297-afacea94f5a0_SetDate">
    <vt:lpwstr>2019-11-02T04:20:59.7491018Z</vt:lpwstr>
  </property>
  <property fmtid="{D5CDD505-2E9C-101B-9397-08002B2CF9AE}" pid="6" name="MSIP_Label_cb51e0fc-1c37-41ff-9297-afacea94f5a0_Name">
    <vt:lpwstr>RESTRICTED</vt:lpwstr>
  </property>
  <property fmtid="{D5CDD505-2E9C-101B-9397-08002B2CF9AE}" pid="7" name="MSIP_Label_cb51e0fc-1c37-41ff-9297-afacea94f5a0_Application">
    <vt:lpwstr>Microsoft Azure Information Protection</vt:lpwstr>
  </property>
  <property fmtid="{D5CDD505-2E9C-101B-9397-08002B2CF9AE}" pid="8" name="MSIP_Label_cb51e0fc-1c37-41ff-9297-afacea94f5a0_ActionId">
    <vt:lpwstr>26ce397a-d4af-4eb5-84ab-06992ca8e7cb</vt:lpwstr>
  </property>
  <property fmtid="{D5CDD505-2E9C-101B-9397-08002B2CF9AE}" pid="9" name="MSIP_Label_cb51e0fc-1c37-41ff-9297-afacea94f5a0_Extended_MSFT_Method">
    <vt:lpwstr>Manual</vt:lpwstr>
  </property>
  <property fmtid="{D5CDD505-2E9C-101B-9397-08002B2CF9AE}" pid="10" name="MSIP_Label_54803508-8490-4252-b331-d9b72689e942_Enabled">
    <vt:lpwstr>True</vt:lpwstr>
  </property>
  <property fmtid="{D5CDD505-2E9C-101B-9397-08002B2CF9AE}" pid="11" name="MSIP_Label_54803508-8490-4252-b331-d9b72689e942_SiteId">
    <vt:lpwstr>0b11c524-9a1c-4e1b-84cb-6336aefc2243</vt:lpwstr>
  </property>
  <property fmtid="{D5CDD505-2E9C-101B-9397-08002B2CF9AE}" pid="12" name="MSIP_Label_54803508-8490-4252-b331-d9b72689e942_Owner">
    <vt:lpwstr>LEOW_Yock_Keng@bca.gov.sg</vt:lpwstr>
  </property>
  <property fmtid="{D5CDD505-2E9C-101B-9397-08002B2CF9AE}" pid="13" name="MSIP_Label_54803508-8490-4252-b331-d9b72689e942_SetDate">
    <vt:lpwstr>2019-11-02T04:20:59.7491018Z</vt:lpwstr>
  </property>
  <property fmtid="{D5CDD505-2E9C-101B-9397-08002B2CF9AE}" pid="14" name="MSIP_Label_54803508-8490-4252-b331-d9b72689e942_Name">
    <vt:lpwstr>NON-SENSITIVE</vt:lpwstr>
  </property>
  <property fmtid="{D5CDD505-2E9C-101B-9397-08002B2CF9AE}" pid="15" name="MSIP_Label_54803508-8490-4252-b331-d9b72689e942_Application">
    <vt:lpwstr>Microsoft Azure Information Protection</vt:lpwstr>
  </property>
  <property fmtid="{D5CDD505-2E9C-101B-9397-08002B2CF9AE}" pid="16" name="MSIP_Label_54803508-8490-4252-b331-d9b72689e942_ActionId">
    <vt:lpwstr>26ce397a-d4af-4eb5-84ab-06992ca8e7cb</vt:lpwstr>
  </property>
  <property fmtid="{D5CDD505-2E9C-101B-9397-08002B2CF9AE}" pid="17" name="MSIP_Label_54803508-8490-4252-b331-d9b72689e942_Parent">
    <vt:lpwstr>cb51e0fc-1c37-41ff-9297-afacea94f5a0</vt:lpwstr>
  </property>
  <property fmtid="{D5CDD505-2E9C-101B-9397-08002B2CF9AE}" pid="18" name="MSIP_Label_54803508-8490-4252-b331-d9b72689e942_Extended_MSFT_Method">
    <vt:lpwstr>Manual</vt:lpwstr>
  </property>
  <property fmtid="{D5CDD505-2E9C-101B-9397-08002B2CF9AE}" pid="19" name="Sensitivity">
    <vt:lpwstr>RESTRICTED NON-SENSITIVE</vt:lpwstr>
  </property>
</Properties>
</file>