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drawings/drawing5.xml" ContentType="application/vnd.openxmlformats-officedocument.drawing+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bca_abw\Desktop\"/>
    </mc:Choice>
  </mc:AlternateContent>
  <xr:revisionPtr revIDLastSave="0" documentId="8_{05C9DF3D-AD6E-4F22-A5A9-7741FC2ED46B}" xr6:coauthVersionLast="41" xr6:coauthVersionMax="41" xr10:uidLastSave="{00000000-0000-0000-0000-000000000000}"/>
  <workbookProtection workbookAlgorithmName="SHA-512" workbookHashValue="V/sQE2EEr3J4yUBpZIqm5ckqhJEfKqq0kQjE6wK870a61zIcUwWhoTzSfUcOzvHaPEntb8aaweYRTrYUhxr5Yw==" workbookSaltValue="rJ+zZUy9ZbShAd2k1SBlQA==" workbookSpinCount="100000" lockStructure="1"/>
  <bookViews>
    <workbookView xWindow="-120" yWindow="-120" windowWidth="29040" windowHeight="15840" xr2:uid="{00000000-000D-0000-FFFF-FFFF00000000}"/>
  </bookViews>
  <sheets>
    <sheet name="Summary" sheetId="1" r:id="rId1"/>
    <sheet name="Section 1" sheetId="2" r:id="rId2"/>
    <sheet name="Section 2" sheetId="3" r:id="rId3"/>
    <sheet name="Control-tab" sheetId="8" state="hidden" r:id="rId4"/>
    <sheet name="Section 3" sheetId="4" r:id="rId5"/>
    <sheet name="Section 4" sheetId="5" r:id="rId6"/>
    <sheet name="Section 5" sheetId="6" r:id="rId7"/>
  </sheets>
  <definedNames>
    <definedName name="_xlnm.Print_Area" localSheetId="4">'Section 3'!$A$1:$F$58</definedName>
    <definedName name="_xlnm.Print_Area" localSheetId="5">'Section 4'!$A$1:$X$102</definedName>
    <definedName name="_xlnm.Print_Area" localSheetId="6">'Section 5'!$A$1:$Q$84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6" i="2" l="1"/>
  <c r="N60" i="6" l="1"/>
  <c r="E60" i="6" s="1"/>
  <c r="N68" i="6"/>
  <c r="O68" i="6" s="1"/>
  <c r="N66" i="6"/>
  <c r="O66" i="6" s="1"/>
  <c r="N64" i="6"/>
  <c r="O64" i="6" s="1"/>
  <c r="N62" i="6"/>
  <c r="O62" i="6" s="1"/>
  <c r="O71" i="6" l="1"/>
  <c r="P71" i="6" s="1"/>
  <c r="E61" i="6" s="1"/>
  <c r="O84" i="5"/>
  <c r="M80" i="3"/>
  <c r="C14" i="3"/>
  <c r="C31" i="3" s="1"/>
  <c r="C79" i="2"/>
  <c r="L59" i="2"/>
  <c r="L61" i="2"/>
  <c r="I59" i="2" l="1"/>
  <c r="N92" i="2"/>
  <c r="N91" i="2"/>
  <c r="N87" i="2"/>
  <c r="N86" i="2"/>
  <c r="M35" i="4" l="1"/>
  <c r="M38" i="4"/>
  <c r="N83" i="6" l="1"/>
  <c r="O83" i="6" s="1"/>
  <c r="N81" i="6"/>
  <c r="O81" i="6" s="1"/>
  <c r="N79" i="6"/>
  <c r="O79" i="6" s="1"/>
  <c r="N77" i="6"/>
  <c r="N75" i="6"/>
  <c r="O75" i="6" s="1"/>
  <c r="N73" i="6"/>
  <c r="O73" i="6" s="1"/>
  <c r="O77" i="6"/>
  <c r="N101" i="5"/>
  <c r="N99" i="5"/>
  <c r="N97" i="5"/>
  <c r="N93" i="5"/>
  <c r="N92" i="5"/>
  <c r="N90" i="5"/>
  <c r="N88" i="5"/>
  <c r="E71" i="6" l="1"/>
  <c r="C14" i="6"/>
  <c r="N47" i="4"/>
  <c r="N19" i="4"/>
  <c r="N55" i="3" l="1"/>
  <c r="M40" i="3"/>
  <c r="C34" i="3"/>
  <c r="C35" i="3" s="1"/>
  <c r="N28" i="3"/>
  <c r="O28" i="3" s="1"/>
  <c r="C28" i="3" l="1"/>
  <c r="M28" i="3" s="1"/>
  <c r="C32" i="2"/>
  <c r="N81" i="2" l="1"/>
  <c r="M73" i="2" l="1"/>
  <c r="N4" i="2"/>
  <c r="N5" i="4"/>
  <c r="N4" i="4"/>
  <c r="N5" i="5"/>
  <c r="N6" i="5"/>
  <c r="N4" i="5"/>
  <c r="N6" i="3"/>
  <c r="N7" i="3"/>
  <c r="N5" i="3"/>
  <c r="N4" i="3"/>
  <c r="O80" i="2" l="1"/>
  <c r="O78" i="2"/>
  <c r="C11" i="6"/>
  <c r="N10" i="6" s="1"/>
  <c r="N37" i="3"/>
  <c r="M38" i="3" s="1"/>
  <c r="N50" i="3"/>
  <c r="N54" i="3"/>
  <c r="N53" i="3"/>
  <c r="E51" i="3" s="1"/>
  <c r="L39" i="3" l="1"/>
  <c r="D48" i="1"/>
  <c r="E9" i="6"/>
  <c r="H19" i="3"/>
  <c r="N16" i="3"/>
  <c r="H11" i="8"/>
  <c r="J11" i="8" s="1"/>
  <c r="H16" i="3"/>
  <c r="H3" i="8"/>
  <c r="I3" i="8" l="1"/>
  <c r="I11" i="8"/>
  <c r="I13" i="8" s="1"/>
  <c r="I14" i="8" s="1"/>
  <c r="J3" i="8"/>
  <c r="E23" i="3"/>
  <c r="I5" i="8" l="1"/>
  <c r="I6" i="8" s="1"/>
  <c r="K16" i="3" s="1"/>
  <c r="K20" i="3"/>
  <c r="M66" i="3"/>
  <c r="E66" i="3" s="1"/>
  <c r="D50" i="1" s="1"/>
  <c r="E37" i="4"/>
  <c r="E35" i="4"/>
  <c r="N57" i="6"/>
  <c r="E57" i="6" s="1"/>
  <c r="M53" i="6"/>
  <c r="N53" i="6" s="1"/>
  <c r="N55" i="6"/>
  <c r="N54" i="6"/>
  <c r="N50" i="6"/>
  <c r="E50" i="6" s="1"/>
  <c r="N47" i="6"/>
  <c r="N46" i="6"/>
  <c r="N48" i="6"/>
  <c r="N43" i="6"/>
  <c r="N42" i="6"/>
  <c r="N40" i="6"/>
  <c r="N39" i="6"/>
  <c r="N35" i="6"/>
  <c r="N36" i="6"/>
  <c r="N37" i="6"/>
  <c r="N33" i="6"/>
  <c r="N5" i="6"/>
  <c r="E5" i="6" s="1"/>
  <c r="N26" i="6"/>
  <c r="N25" i="6"/>
  <c r="N22" i="6"/>
  <c r="E22" i="6" s="1"/>
  <c r="N19" i="6"/>
  <c r="E18" i="6" s="1"/>
  <c r="M29" i="6"/>
  <c r="E28" i="6" s="1"/>
  <c r="Q30" i="6"/>
  <c r="E42" i="6" l="1"/>
  <c r="L16" i="3"/>
  <c r="E16" i="3" s="1"/>
  <c r="D60" i="1"/>
  <c r="E32" i="6"/>
  <c r="E24" i="6"/>
  <c r="M22" i="3"/>
  <c r="E52" i="6"/>
  <c r="E45" i="6"/>
  <c r="E39" i="6"/>
  <c r="N16" i="6"/>
  <c r="E16" i="6" s="1"/>
  <c r="N15" i="6"/>
  <c r="E15" i="6" s="1"/>
  <c r="C8" i="6"/>
  <c r="M7" i="6" s="1"/>
  <c r="E6" i="6" s="1"/>
  <c r="N75" i="3"/>
  <c r="N76" i="3"/>
  <c r="N74" i="3"/>
  <c r="N71" i="3"/>
  <c r="E70" i="3" s="1"/>
  <c r="N80" i="3"/>
  <c r="E77" i="3" s="1"/>
  <c r="P61" i="3"/>
  <c r="P62" i="3"/>
  <c r="P63" i="3"/>
  <c r="Q61" i="3" s="1"/>
  <c r="P64" i="3"/>
  <c r="P60" i="3"/>
  <c r="O61" i="3"/>
  <c r="Q59" i="3" s="1"/>
  <c r="O62" i="3"/>
  <c r="O63" i="3"/>
  <c r="O64" i="3"/>
  <c r="O60" i="3"/>
  <c r="N49" i="3"/>
  <c r="M46" i="3"/>
  <c r="M45" i="3"/>
  <c r="Q60" i="3" l="1"/>
  <c r="Q62" i="3"/>
  <c r="Q58" i="3"/>
  <c r="D44" i="1"/>
  <c r="M13" i="6"/>
  <c r="N13" i="6" s="1"/>
  <c r="E13" i="6" s="1"/>
  <c r="E72" i="3"/>
  <c r="D51" i="1" s="1"/>
  <c r="E48" i="3"/>
  <c r="D47" i="1" s="1"/>
  <c r="E44" i="3"/>
  <c r="D46" i="1" s="1"/>
  <c r="O97" i="5"/>
  <c r="E96" i="5" s="1"/>
  <c r="O88" i="5"/>
  <c r="E87" i="5" s="1"/>
  <c r="P84" i="5"/>
  <c r="N79" i="5"/>
  <c r="N80" i="5"/>
  <c r="N81" i="5"/>
  <c r="N82" i="5"/>
  <c r="N78" i="5"/>
  <c r="N74" i="5"/>
  <c r="E73" i="5" s="1"/>
  <c r="N68" i="5"/>
  <c r="N69" i="5"/>
  <c r="N70" i="5"/>
  <c r="N72" i="5"/>
  <c r="E71" i="5" s="1"/>
  <c r="N59" i="5"/>
  <c r="N60" i="5"/>
  <c r="N61" i="5"/>
  <c r="N62" i="5"/>
  <c r="N63" i="5"/>
  <c r="N64" i="5"/>
  <c r="N65" i="5"/>
  <c r="N54" i="5"/>
  <c r="N55" i="5"/>
  <c r="N51" i="5"/>
  <c r="E51" i="5" s="1"/>
  <c r="D72" i="1" s="1"/>
  <c r="N45" i="5"/>
  <c r="E45" i="5" s="1"/>
  <c r="N47" i="5"/>
  <c r="E47" i="5" s="1"/>
  <c r="N49" i="5"/>
  <c r="E49" i="5" s="1"/>
  <c r="N43" i="5"/>
  <c r="E43" i="5" s="1"/>
  <c r="N39" i="5"/>
  <c r="N38" i="5"/>
  <c r="N37" i="5"/>
  <c r="N33" i="5"/>
  <c r="E32" i="5" s="1"/>
  <c r="N28" i="5"/>
  <c r="N29" i="5"/>
  <c r="N26" i="5"/>
  <c r="D76" i="1" l="1"/>
  <c r="D71" i="1"/>
  <c r="D1" i="6"/>
  <c r="D79" i="1" s="1"/>
  <c r="D80" i="1" s="1"/>
  <c r="D25" i="1" s="1"/>
  <c r="O59" i="3"/>
  <c r="E59" i="3" s="1"/>
  <c r="D49" i="1" s="1"/>
  <c r="O59" i="5"/>
  <c r="E58" i="5" s="1"/>
  <c r="O78" i="5"/>
  <c r="E76" i="5" s="1"/>
  <c r="D75" i="1" s="1"/>
  <c r="E36" i="5"/>
  <c r="D70" i="1" s="1"/>
  <c r="O68" i="5"/>
  <c r="E66" i="5" s="1"/>
  <c r="E53" i="5"/>
  <c r="D73" i="1" s="1"/>
  <c r="O28" i="5"/>
  <c r="O26" i="5"/>
  <c r="N22" i="5"/>
  <c r="E22" i="5" s="1"/>
  <c r="N20" i="5"/>
  <c r="E20" i="5" s="1"/>
  <c r="N16" i="5"/>
  <c r="E16" i="5" s="1"/>
  <c r="N14" i="5"/>
  <c r="E14" i="5" s="1"/>
  <c r="N12" i="5"/>
  <c r="E12" i="5" s="1"/>
  <c r="N10" i="5"/>
  <c r="E10" i="5" s="1"/>
  <c r="N58" i="4"/>
  <c r="N57" i="4"/>
  <c r="N53" i="4"/>
  <c r="E53" i="4" s="1"/>
  <c r="D63" i="1" s="1"/>
  <c r="N51" i="4"/>
  <c r="E51" i="4" s="1"/>
  <c r="D62" i="1" s="1"/>
  <c r="N49" i="4"/>
  <c r="N44" i="4"/>
  <c r="N45" i="4"/>
  <c r="N46" i="4"/>
  <c r="N42" i="4"/>
  <c r="N9" i="4"/>
  <c r="E30" i="4"/>
  <c r="D59" i="1" s="1"/>
  <c r="N27" i="4"/>
  <c r="N28" i="4"/>
  <c r="N23" i="4"/>
  <c r="N24" i="4"/>
  <c r="N18" i="4"/>
  <c r="N17" i="4"/>
  <c r="N14" i="4"/>
  <c r="N13" i="4"/>
  <c r="N10" i="4"/>
  <c r="D74" i="1" l="1"/>
  <c r="E56" i="4"/>
  <c r="D64" i="1" s="1"/>
  <c r="D68" i="1"/>
  <c r="D67" i="1"/>
  <c r="E25" i="5"/>
  <c r="O44" i="4"/>
  <c r="E41" i="4" s="1"/>
  <c r="D61" i="1" s="1"/>
  <c r="E26" i="4"/>
  <c r="D58" i="1" s="1"/>
  <c r="E22" i="4"/>
  <c r="D57" i="1" s="1"/>
  <c r="E12" i="4"/>
  <c r="D55" i="1" s="1"/>
  <c r="E16" i="4"/>
  <c r="D56" i="1" s="1"/>
  <c r="E8" i="4"/>
  <c r="D54" i="1" s="1"/>
  <c r="E10" i="3"/>
  <c r="P81" i="2"/>
  <c r="P80" i="2"/>
  <c r="P78" i="2"/>
  <c r="M82" i="3" l="1"/>
  <c r="D43" i="1"/>
  <c r="D65" i="1"/>
  <c r="D23" i="1" s="1"/>
  <c r="D1" i="5"/>
  <c r="D69" i="1"/>
  <c r="D77" i="1" s="1"/>
  <c r="D24" i="1" s="1"/>
  <c r="D1" i="4"/>
  <c r="M75" i="2"/>
  <c r="N75" i="2" s="1"/>
  <c r="M72" i="2" s="1"/>
  <c r="E72" i="2" s="1"/>
  <c r="N96" i="2"/>
  <c r="N84" i="2"/>
  <c r="E96" i="2"/>
  <c r="E84" i="2"/>
  <c r="E78" i="2"/>
  <c r="N71" i="2"/>
  <c r="E71" i="2" s="1"/>
  <c r="N70" i="2"/>
  <c r="E70" i="2" s="1"/>
  <c r="P61" i="2"/>
  <c r="K60" i="2" s="1"/>
  <c r="P60" i="2"/>
  <c r="K59" i="2" s="1"/>
  <c r="N66" i="2"/>
  <c r="E66" i="2" s="1"/>
  <c r="N63" i="2"/>
  <c r="E63" i="2" s="1"/>
  <c r="N57" i="2"/>
  <c r="N53" i="2"/>
  <c r="N54" i="2"/>
  <c r="N52" i="2"/>
  <c r="N50" i="2"/>
  <c r="E45" i="2"/>
  <c r="M42" i="2"/>
  <c r="N42" i="2" s="1"/>
  <c r="E41" i="2" s="1"/>
  <c r="E38" i="2"/>
  <c r="E34" i="2"/>
  <c r="D36" i="1" s="1"/>
  <c r="M30" i="2"/>
  <c r="N31" i="2" s="1"/>
  <c r="N29" i="2"/>
  <c r="N27" i="2"/>
  <c r="E27" i="2" s="1"/>
  <c r="D34" i="1" s="1"/>
  <c r="N25" i="2"/>
  <c r="N24" i="2"/>
  <c r="N21" i="2"/>
  <c r="N20" i="2"/>
  <c r="N16" i="2"/>
  <c r="N14" i="2"/>
  <c r="N15" i="2"/>
  <c r="N17" i="2"/>
  <c r="N11" i="2"/>
  <c r="N9" i="2"/>
  <c r="N10" i="2"/>
  <c r="K61" i="2" l="1"/>
  <c r="J61" i="2" s="1"/>
  <c r="J62" i="2" s="1"/>
  <c r="E58" i="2" s="1"/>
  <c r="D39" i="1"/>
  <c r="E90" i="2"/>
  <c r="E85" i="2"/>
  <c r="M60" i="2"/>
  <c r="Q61" i="2"/>
  <c r="N51" i="2"/>
  <c r="E49" i="2" s="1"/>
  <c r="D37" i="1" s="1"/>
  <c r="N30" i="2"/>
  <c r="E29" i="2" s="1"/>
  <c r="D35" i="1" s="1"/>
  <c r="E23" i="2"/>
  <c r="D33" i="1" s="1"/>
  <c r="E19" i="2"/>
  <c r="D32" i="1" s="1"/>
  <c r="E13" i="2"/>
  <c r="D31" i="1" s="1"/>
  <c r="E8" i="2"/>
  <c r="D30" i="1" s="1"/>
  <c r="D40" i="1" l="1"/>
  <c r="M59" i="2"/>
  <c r="M61" i="2"/>
  <c r="O59" i="2" l="1"/>
  <c r="D1" i="2" l="1"/>
  <c r="D38" i="1"/>
  <c r="D41" i="1" s="1"/>
  <c r="D21" i="1" s="1"/>
  <c r="E30" i="3"/>
  <c r="D45" i="1" s="1"/>
  <c r="D52" i="1" s="1"/>
  <c r="D22" i="1" s="1"/>
  <c r="D26" i="1" l="1"/>
  <c r="M83" i="3"/>
  <c r="D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Boon Wee ANG (BCA)</author>
  </authors>
  <commentList>
    <comment ref="A3" authorId="0" shapeId="0" xr:uid="{00000000-0006-0000-0300-000001000000}">
      <text>
        <r>
          <rPr>
            <b/>
            <sz val="9"/>
            <color indexed="81"/>
            <rFont val="Tahoma"/>
            <family val="2"/>
          </rPr>
          <t>Boon Wee ANG (BCA):</t>
        </r>
        <r>
          <rPr>
            <sz val="9"/>
            <color indexed="81"/>
            <rFont val="Tahoma"/>
            <family val="2"/>
          </rPr>
          <t xml:space="preserve">
Points awarded = 0.6 x (% improvement from baseline)
(Up to 12 points)</t>
        </r>
      </text>
    </comment>
    <comment ref="A4" authorId="0" shapeId="0" xr:uid="{00000000-0006-0000-0300-000002000000}">
      <text>
        <r>
          <rPr>
            <b/>
            <sz val="9"/>
            <color indexed="81"/>
            <rFont val="Tahoma"/>
            <family val="2"/>
          </rPr>
          <t>Boon Wee ANG (BCA):</t>
        </r>
        <r>
          <rPr>
            <sz val="9"/>
            <color indexed="81"/>
            <rFont val="Tahoma"/>
            <family val="2"/>
          </rPr>
          <t xml:space="preserve">
Points awarded = 0.3 x (% improvement from baseline)
(Up to 12 points will be awarded if permanent M&amp;V is provided for VRF air-conditioning system. Otherwise, it is capped at 8 points.)</t>
        </r>
      </text>
    </comment>
    <comment ref="A5" authorId="0" shapeId="0" xr:uid="{00000000-0006-0000-0300-000003000000}">
      <text>
        <r>
          <rPr>
            <b/>
            <sz val="9"/>
            <color indexed="81"/>
            <rFont val="Tahoma"/>
            <family val="2"/>
          </rPr>
          <t>Boon Wee ANG (BCA):</t>
        </r>
        <r>
          <rPr>
            <sz val="9"/>
            <color indexed="81"/>
            <rFont val="Tahoma"/>
            <family val="2"/>
          </rPr>
          <t xml:space="preserve">
Points awarded = 0.3 x (% improvement from baseline)
Capped at 8 points</t>
        </r>
      </text>
    </comment>
    <comment ref="A6" authorId="0" shapeId="0" xr:uid="{00000000-0006-0000-0300-000004000000}">
      <text>
        <r>
          <rPr>
            <b/>
            <sz val="9"/>
            <color indexed="81"/>
            <rFont val="Tahoma"/>
            <family val="2"/>
          </rPr>
          <t>Boon Wee ANG (BCA):</t>
        </r>
        <r>
          <rPr>
            <sz val="9"/>
            <color indexed="81"/>
            <rFont val="Tahoma"/>
            <family val="2"/>
          </rPr>
          <t xml:space="preserve">
default 12 points, multiply by percentage scored based.</t>
        </r>
      </text>
    </comment>
    <comment ref="A11" authorId="0" shapeId="0" xr:uid="{00000000-0006-0000-0300-000005000000}">
      <text>
        <r>
          <rPr>
            <b/>
            <sz val="9"/>
            <color indexed="81"/>
            <rFont val="Tahoma"/>
            <family val="2"/>
          </rPr>
          <t>Boon Wee ANG (BCA):</t>
        </r>
        <r>
          <rPr>
            <sz val="9"/>
            <color indexed="81"/>
            <rFont val="Tahoma"/>
            <family val="2"/>
          </rPr>
          <t xml:space="preserve">
Points awarded = 0.6 x (% improvement from baseline)
(Up to 12 points)</t>
        </r>
      </text>
    </comment>
    <comment ref="A12" authorId="0" shapeId="0" xr:uid="{00000000-0006-0000-0300-000006000000}">
      <text>
        <r>
          <rPr>
            <b/>
            <sz val="9"/>
            <color indexed="81"/>
            <rFont val="Tahoma"/>
            <family val="2"/>
          </rPr>
          <t>Boon Wee ANG (BCA):</t>
        </r>
        <r>
          <rPr>
            <sz val="9"/>
            <color indexed="81"/>
            <rFont val="Tahoma"/>
            <family val="2"/>
          </rPr>
          <t xml:space="preserve">
Points awarded = 0.3 x (% improvement from baseline)
(Up to 12 points will be awarded if permanent M&amp;V is provided for VRF air-conditioning system. Otherwise, it is capped at 8 points.)</t>
        </r>
      </text>
    </comment>
    <comment ref="A13" authorId="0" shapeId="0" xr:uid="{00000000-0006-0000-0300-000007000000}">
      <text>
        <r>
          <rPr>
            <b/>
            <sz val="9"/>
            <color indexed="81"/>
            <rFont val="Tahoma"/>
            <family val="2"/>
          </rPr>
          <t>Boon Wee ANG (BCA):</t>
        </r>
        <r>
          <rPr>
            <sz val="9"/>
            <color indexed="81"/>
            <rFont val="Tahoma"/>
            <family val="2"/>
          </rPr>
          <t xml:space="preserve">
Points awarded = 0.3 x (% improvement from baseline)
Capped at 8 points</t>
        </r>
      </text>
    </comment>
  </commentList>
</comments>
</file>

<file path=xl/sharedStrings.xml><?xml version="1.0" encoding="utf-8"?>
<sst xmlns="http://schemas.openxmlformats.org/spreadsheetml/2006/main" count="602" uniqueCount="453">
  <si>
    <t>EXISTING NON-RESIDENTIAL BUILDINGS (GM ENRB: 2017)</t>
  </si>
  <si>
    <t>POINTS AVAILABLE</t>
  </si>
  <si>
    <t>POINTS SCORED</t>
  </si>
  <si>
    <t>Environmental Credentials of Facility Managers and Consultants</t>
  </si>
  <si>
    <t>1.10</t>
  </si>
  <si>
    <t>Sustainable Policy and Action Plan</t>
  </si>
  <si>
    <t>Green Building Committee</t>
  </si>
  <si>
    <t>Green Fit-out Guidelines</t>
  </si>
  <si>
    <t>Green Lease</t>
  </si>
  <si>
    <t>Green-related Activities for Building Occupants</t>
  </si>
  <si>
    <t>Greenery</t>
  </si>
  <si>
    <t>Refrigerant</t>
  </si>
  <si>
    <t>Green Transport</t>
  </si>
  <si>
    <t>Green Education</t>
  </si>
  <si>
    <t>Sustainable Operation</t>
  </si>
  <si>
    <t>Score for Section 1 - Sustainable Management</t>
  </si>
  <si>
    <t>Sustainable Management</t>
  </si>
  <si>
    <t>Section</t>
  </si>
  <si>
    <t>Building Energy Performance</t>
  </si>
  <si>
    <t>Façade Performance</t>
  </si>
  <si>
    <t>Air Conditioning  System Operating Efficiency</t>
  </si>
  <si>
    <t>Natural / Mechanical Ventilation Performance</t>
  </si>
  <si>
    <t>Lighting System Efficiency</t>
  </si>
  <si>
    <t>Score for Section 2 - Building Energy Performance</t>
  </si>
  <si>
    <t>CERTIFIED</t>
  </si>
  <si>
    <t>GOLD</t>
  </si>
  <si>
    <t>GOLDPLUS</t>
  </si>
  <si>
    <t>PLATINUM</t>
  </si>
  <si>
    <t>PRE-REQUISITE REQUIREMENTS FOR EXISTING NON-RESIDENTIAL BUILDING CRITERIA</t>
  </si>
  <si>
    <t>Energy Consumption Monitoring</t>
  </si>
  <si>
    <t>Air Conditioning System Operating Efficiency</t>
  </si>
  <si>
    <t>Energy Improvement on Lighting System</t>
  </si>
  <si>
    <t>Water Consumption Monitoring</t>
  </si>
  <si>
    <t>Chiller Plant Measurement and Verification (M&amp;V) Instrumentation</t>
  </si>
  <si>
    <t>Indoor Temperature</t>
  </si>
  <si>
    <t>Indoor Air Quality (IAQ) Surveillance Audit</t>
  </si>
  <si>
    <t>Tenant and Occupant Engagement</t>
  </si>
  <si>
    <t>Recycling Facilities</t>
  </si>
  <si>
    <t>Post Occupany Evaluation</t>
  </si>
  <si>
    <t>Display of Green Mark Plaque / Decal</t>
  </si>
  <si>
    <t>Vertical Transportation System</t>
  </si>
  <si>
    <t>Ventilation in Car Park</t>
  </si>
  <si>
    <t>Ventilation in Common Areas</t>
  </si>
  <si>
    <t>Energy Efficient Practices and Features</t>
  </si>
  <si>
    <t>Renewable Energy</t>
  </si>
  <si>
    <t>3.10</t>
  </si>
  <si>
    <t>Water Efficient Fittings</t>
  </si>
  <si>
    <t>Landscape Irrigation</t>
  </si>
  <si>
    <t>Reduction in Water Consumption of Cooling Towers</t>
  </si>
  <si>
    <t>Water Monitoring and Leak Detection</t>
  </si>
  <si>
    <t>Water Usage Portal and Dashboard</t>
  </si>
  <si>
    <t>Use of Alternative Water Sources</t>
  </si>
  <si>
    <t>Green Products and Materials</t>
  </si>
  <si>
    <t>Storage Area for Recyclable Waste</t>
  </si>
  <si>
    <t>Promotion of Waste Reduction</t>
  </si>
  <si>
    <t>Waste Monitoring</t>
  </si>
  <si>
    <t>Score for Section 3 - Resource Stewardship</t>
  </si>
  <si>
    <t>4.10</t>
  </si>
  <si>
    <t>Score for Section 4 - Smart and Healthy Buildings</t>
  </si>
  <si>
    <t>Occupant Comfort</t>
  </si>
  <si>
    <t>Outdoor Air Control</t>
  </si>
  <si>
    <t>Enhanced Filtration Media</t>
  </si>
  <si>
    <t>Indoor Contaminants</t>
  </si>
  <si>
    <t>Lighting Quality</t>
  </si>
  <si>
    <t>Acoustics</t>
  </si>
  <si>
    <t>Energy Monitoring</t>
  </si>
  <si>
    <t>Demand Control</t>
  </si>
  <si>
    <t>Integration and Analytics</t>
  </si>
  <si>
    <t>SECTION 1  - SUSTAINABLE MANAGEMENT</t>
  </si>
  <si>
    <t>SECTION 2 - BUILDING ENERGY PERFORMANCE</t>
  </si>
  <si>
    <t>SECTION 3 - RESOURCE STEWARDSHIP</t>
  </si>
  <si>
    <t>SECTION 4 - SMART AND HEALTHY BUILDINGS</t>
  </si>
  <si>
    <t>SECTION 5 - ADVANCED GREEN EFFORT</t>
  </si>
  <si>
    <t>Advanced Green Effort</t>
  </si>
  <si>
    <t>Score for Section 5 - Advanced Green Effort</t>
  </si>
  <si>
    <t>Resource Stewardship</t>
  </si>
  <si>
    <t>Smart and Healthy Building</t>
  </si>
  <si>
    <t>Total</t>
  </si>
  <si>
    <t>SECTION 1 - SUSTAINABLE MANAGEMENT</t>
  </si>
  <si>
    <t>DATA INPUT</t>
  </si>
  <si>
    <t>To recognise facility managers, consultants with specialised green credentials who can effectively operate and/or guide the maintenance team towards sustainable management of the building.</t>
  </si>
  <si>
    <t>To recognise management's commitment and leadership towards sustainable operation and maintenace of the building.</t>
  </si>
  <si>
    <t>c) Singapore Certified Energy Manager (SCEM)</t>
  </si>
  <si>
    <t>a) Energy Management Policy and Energy Improvement Plan</t>
  </si>
  <si>
    <t>b) Water Management Policy and Water Improvement Plan</t>
  </si>
  <si>
    <t>c) Waste Management Policy and Waste Recycling Plan</t>
  </si>
  <si>
    <t>d) Valid ISO 14001 or ISO 50001 Certifications</t>
  </si>
  <si>
    <t>To encourage collaborations between environmentally - conscious owners and tenants to promote sustainabiliity-related initiatives for the building.</t>
  </si>
  <si>
    <t>a) Involve at least 3 tenants or building occupants</t>
  </si>
  <si>
    <t>b) Involve at least 6 tenants or building occupants; and they represent more than 30% of total lettable area</t>
  </si>
  <si>
    <t>To educate building users and tenants on the green features of the building and how they can contribute towards sustainability.</t>
  </si>
  <si>
    <t>a) Green Building User Guide</t>
  </si>
  <si>
    <t>b) Green Corner</t>
  </si>
  <si>
    <t>Provision of Green Fit-out Guidelines. The guidelines are to be disseminated to the relevant tenant management and personnel.</t>
  </si>
  <si>
    <t>The green lease, to be incorporated into tenancy agreement shall establish agreed levels of environmental building performance between landlord and his tenants.</t>
  </si>
  <si>
    <t>Number of activities held in a year</t>
  </si>
  <si>
    <t>To provide greenergy within the development to reduce urban heat island effect.</t>
  </si>
  <si>
    <t>a)</t>
  </si>
  <si>
    <t>Greenery Provision</t>
  </si>
  <si>
    <t>GnP</t>
  </si>
  <si>
    <t>b)</t>
  </si>
  <si>
    <t>Rooftop Greenery</t>
  </si>
  <si>
    <t>AVAILABLE POINTS</t>
  </si>
  <si>
    <t>POINT SCORED</t>
  </si>
  <si>
    <t>c)</t>
  </si>
  <si>
    <t>Vertical Greenery</t>
  </si>
  <si>
    <t>To encourage the responsible use and management of environment-friendly refrigerants and to minimise the impact of refrigerants on the environment.</t>
  </si>
  <si>
    <t>Use of Green Refrigerant</t>
  </si>
  <si>
    <t>Refrigerant leak detection system</t>
  </si>
  <si>
    <t>Provision of automated refrigerant leak detection system with detection points at critical areas in the plant room housing the chillers and/or equipment that contain refirigerants.</t>
  </si>
  <si>
    <t>To encourage tenant and building occupant engagement through green or occupant well-being related activities. Points can be scored based on the number of activities held in a year.</t>
  </si>
  <si>
    <t>Refrigerant Management System</t>
  </si>
  <si>
    <t>A refrigerant management procedure or strategies are in place on proper handling of refrigerant during storage and top-up, maintaing of the log sheets, tracking and reducing the refrigerant consumption as well as avoiding leakages.</t>
  </si>
  <si>
    <t>To encourage the use of alternative transportation modes such as public transport or cycling.</t>
  </si>
  <si>
    <t>a) Good access (&lt;500m walking distance) to public transport networks such as MRT/ LRT stations and bus stops</t>
  </si>
  <si>
    <t>b) Provision of covered walkway(s) to the nearest public transport networks</t>
  </si>
  <si>
    <t>c) Provision of priority parking lots for hybrid and electric vehicle</t>
  </si>
  <si>
    <t>Total number of parking lots</t>
  </si>
  <si>
    <t>Total number of priority parking lots</t>
  </si>
  <si>
    <t>Number of electric vehicle charging point near to the priority parking lots</t>
  </si>
  <si>
    <t>d) Provision of bicycle parking lots, shower and changing facilities</t>
  </si>
  <si>
    <t>Number of bicycle parking lots</t>
  </si>
  <si>
    <t>Provision of shower and changing facilities</t>
  </si>
  <si>
    <t>d)</t>
  </si>
  <si>
    <t>Sustainable Landscape Management</t>
  </si>
  <si>
    <t>(i) Building landscape is certified under Nparks' Lanscape Excellence Assessment Framework (LEAF)</t>
  </si>
  <si>
    <t>(ii) Adoption of the following landscape management plan</t>
  </si>
  <si>
    <t>Name of Green Refrigerant</t>
  </si>
  <si>
    <t>GWP</t>
  </si>
  <si>
    <t>ODP = 0</t>
  </si>
  <si>
    <t xml:space="preserve"> a) Use of organice composts from horticultural wastes</t>
  </si>
  <si>
    <t>b) Provision of onsite composting</t>
  </si>
  <si>
    <t>c) Provision of general landscape maintenance and management plan</t>
  </si>
  <si>
    <t>To implement various policies and measures to promote sustainable operations and maintenance within the building</t>
  </si>
  <si>
    <t>(i) Centralised chilled-water system with guaranteed efficiency of 0.65 kW/RT or better</t>
  </si>
  <si>
    <t>(ii) Air distribution system with guaranteed efficiency of 0.25kW/RT or better</t>
  </si>
  <si>
    <t>Provision of Green Procurement Policy, endorsed by the top management, on procuring green products, materials, goods and services from contractors and vendors committed to environmental sustainability</t>
  </si>
  <si>
    <t>Performance-based Procurement for Retrofitting</t>
  </si>
  <si>
    <t>Performance-based Procurement for Maintenance</t>
  </si>
  <si>
    <t>System Handover and Documentation</t>
  </si>
  <si>
    <t>To maintain proper and updated system verification and handover documents of retrofitted building systems, including description of systems' operation and controls, testing and commissioning reports, as-built drawings, technical and training manuals and user guides</t>
  </si>
  <si>
    <t>Natural/ Mechanical Ventilation Performance</t>
  </si>
  <si>
    <t>Verticial Transportation System</t>
  </si>
  <si>
    <t>Energy Efficiency Practices and Features</t>
  </si>
  <si>
    <t>To enhance the overall thermal performance of the building envelope thus reducing the overall heat gain into the building.</t>
  </si>
  <si>
    <t>Air Conditioning System Efficiency (kW/RT)</t>
  </si>
  <si>
    <t>Water-cooled Chilled-water Plant</t>
  </si>
  <si>
    <t>Air-cooled Chilled-water Plant / Unitary Air-conditioners</t>
  </si>
  <si>
    <t>Variable Refrigerant Flow (VRF) System</t>
  </si>
  <si>
    <t>To encourage the use of energy efficient lighting to minimise energy consumption from lighting usage while maintaining proper lighting level</t>
  </si>
  <si>
    <t>% improvement from lighting power budget baseline in lettable/ non-common area</t>
  </si>
  <si>
    <t>Landscape Irrigation System</t>
  </si>
  <si>
    <t>To encourage the provision of facilities or systems to carry out the following:</t>
  </si>
  <si>
    <t>a) Collection and storage of common recyclables such as paper, glass, metal and plastic in commingled or sorted form.</t>
  </si>
  <si>
    <t>b) Recycling of specialised waste stream such as electronic waste, light bulbs, fluorescent tubes, and food waste.</t>
  </si>
  <si>
    <t>i) electronic waste</t>
  </si>
  <si>
    <t>iv) food waste</t>
  </si>
  <si>
    <t>c) Consolidation of horticultural waste for recycling</t>
  </si>
  <si>
    <t>Storage Area for Recyclable Wastes</t>
  </si>
  <si>
    <t>To encourage the provision of proper dedicated storage area at a central location for recyclable wastes.</t>
  </si>
  <si>
    <t>To promote and encourage waste reduction and recycling among tenants, building occupants and visitors in a building</t>
  </si>
  <si>
    <t>a) Points scored based on the number and water efficiency rating of the fitting type used</t>
  </si>
  <si>
    <t>b) Attained PUB Water Efficient Building (WEB) Certificate</t>
  </si>
  <si>
    <t>Point scored</t>
  </si>
  <si>
    <t>To encourage use of the following for at least 50% of the landscape areas:</t>
  </si>
  <si>
    <t>a) Water efficient irrigation systems with features such as automatic sub-soil drip irrigation and moisture or rain sensor control</t>
  </si>
  <si>
    <t>b) Drought tolerant plants</t>
  </si>
  <si>
    <t>To encourage adoption of the following measures to reduce the consumption of potable water for the cooling towers</t>
  </si>
  <si>
    <t>a) Use of a cooling tower water treatment system which can achieve 7 or better cycles of concentration with acceptable water quality</t>
  </si>
  <si>
    <t>b) Use of NEWater or alternate approved sources of water such as on-site recycled water, rainwater, Air Handling Unit (AHU) condensate, etc</t>
  </si>
  <si>
    <t>c) Use of a heat recovery system or equivalent device that helps to reduce heat rejection required through the cooling towers</t>
  </si>
  <si>
    <t>To encourage the following provisions to monitor the water consumption of the building</t>
  </si>
  <si>
    <t>a) Private meters for all major water uses in the building</t>
  </si>
  <si>
    <t>b) Smart remote metering system with alert features for leak detection and monitoring purposes</t>
  </si>
  <si>
    <t>To encourage the adoption of water usage portal(s), dashboard(s) or other equivalent forms with the following provisions:</t>
  </si>
  <si>
    <t>a) Display metered data, trending of water consumption and relevant parameters which facilitate better management of water consumption during building operation</t>
  </si>
  <si>
    <t>b) Allow individual tenants to monitor their own water usages and consumption</t>
  </si>
  <si>
    <t>To encourage use of alternative water sources for applicable non-potable uses, such as irrigation, washing, water features, toilet flushing, etc. (excluding cooling tower make up water) to reduce use of potable water.</t>
  </si>
  <si>
    <t>% reduction of potable water</t>
  </si>
  <si>
    <t>v) other specialised waste stream</t>
  </si>
  <si>
    <t>Number of avenue of promotion</t>
  </si>
  <si>
    <t>To encourage the following waste collection practices in the building for continuous improvement on waste reduction</t>
  </si>
  <si>
    <t>a) Quantifying and monitoring of the waste disposed</t>
  </si>
  <si>
    <t>b) Quantifying and monitoring of the waste recycled</t>
  </si>
  <si>
    <t>SECTION 4 - SMART AND HEALTHY BUILDING</t>
  </si>
  <si>
    <t>To encourage the following which contribute towards ensuring occupant comfort</t>
  </si>
  <si>
    <t>Thermal Comfort</t>
  </si>
  <si>
    <t>Maintain the indoor dry-bulb temperature within 23°C to 25 °C and the relative humidity &lt;70% for consistent indoor conditions and comfort air-conditioning.</t>
  </si>
  <si>
    <t>Temperature Control</t>
  </si>
  <si>
    <t>Occupants are able to control the indoor temperature by zones according to their preference. The thermostat set point should not go below 23 ºC.</t>
  </si>
  <si>
    <t>Post Occupancy Evaluation (POE)</t>
  </si>
  <si>
    <t>A POE survey is conducted and corrective actions are taken accordingly to promote occupant satisfaction.
The POE sample size should be at least 10% of the occupant population in the building, or at least 100 for more than 1,000 occupants or 10 for less than 100 occupants in the building.</t>
  </si>
  <si>
    <t>Indoor Air Quality (IAQ) Management</t>
  </si>
  <si>
    <t>Adoption of IAQ management practices stated in Workplace Safety and Health Guidelines – Management of Indoor Air Quality in Air-Conditioned Workplaces.</t>
  </si>
  <si>
    <t>To encourage the use of the following to ensure sufficient and effective ventilation to a building’s air-conditioned spaces and prevent contaminant build-up:</t>
  </si>
  <si>
    <t>Dedicated Outdoor Air System</t>
  </si>
  <si>
    <t>Provision of a dedicated outdoor air system, such as precool units, to encourage effective treatment of the outdoor air for cooling and dehumidification.</t>
  </si>
  <si>
    <t>Demand Control Ventilation</t>
  </si>
  <si>
    <t>Use of demand control ventilation strategies, such as provision of carbon dioxide (CO2) sensors or equivalent devices, to regulate the quantity of fresh air supplied to the building’s air-conditioned spaces.</t>
  </si>
  <si>
    <t>To encourage the following for effective removal of harmful pollutants from the building’s ventilation system:</t>
  </si>
  <si>
    <t>a) Provision of at least Minimum Efficiency Rating Value (MERV) 6 or equivalent filters for outdoor air filtration all the time, and at least MERV 14 or equivalent filters when the outdoor pollution level is in the unhealthy range in accordance with Ministry of Health’s guidelines.</t>
  </si>
  <si>
    <t>OR</t>
  </si>
  <si>
    <t>b) Permanent provision of MERV 14 or equivalent filters to all pre-cool units (e.g. pre-cooled AHUs (PAHUs))</t>
  </si>
  <si>
    <t>c) Permanent provision of MERV 14 or equivalent filters to all pre-cooled units and &gt;90% coverage of AHUs (by nos.)</t>
  </si>
  <si>
    <t>To encourage the adoption of indoor contaminant pollution control measures and air treatment strategies that can safeguard the health of building occupants.</t>
  </si>
  <si>
    <t>Ultraviolet Germicidal Irradiation (UVGI) System or Equivalent Airborne Disinfection Technologies</t>
  </si>
  <si>
    <t>Provision of an UVGI system or equivalent in AHUs to help eliminate airborne infectious micro-organisms. The UV wavelength should be of 254nm and a safety interlock for maintenance access should be provided</t>
  </si>
  <si>
    <t>% Extent of coverage (by nos.) of a building's AHU</t>
  </si>
  <si>
    <t>IAQ Display</t>
  </si>
  <si>
    <t>Provision of display panels at each floor or tenancy indicating the following information to raise awareness among the tenants, building occupants and visitors on the building’s indoor air conditions:</t>
  </si>
  <si>
    <t>i) Temperature</t>
  </si>
  <si>
    <t>ii) Relative humidity</t>
  </si>
  <si>
    <t>To encourage the following which contribute towards ensuring well-lit and comfortable spaces and minimising physiological discomfort for the building occupants and users:</t>
  </si>
  <si>
    <t>Lighting Level</t>
  </si>
  <si>
    <t>The measured indoor lighting levels should comply with the recommended illuminance (average lux level) stated in SS 531 : 2006 Code of Practice for Lighting of Work Places Part 1 – Indoor Lighting or CP 38 : 1999 Code of Practice for Artificial Lighting in Buildings</t>
  </si>
  <si>
    <t>Task Lights</t>
  </si>
  <si>
    <t>Provision of task lights for the building occupants and users at workstations to achieve task-appropriate illumination and flexibility for user adjustment and control</t>
  </si>
  <si>
    <t>Flicker-free Light Fittings</t>
  </si>
  <si>
    <t>Provision of fluorescent luminaires and LED lightings that avoid flicker and stroboscopic effects:
• High frequency ballasts (frequency &gt;20kHz) for fluorescent luminaries
• LED lighting with &lt;30% flicker</t>
  </si>
  <si>
    <t>Colour Rendering Index (CRI)</t>
  </si>
  <si>
    <t>Lighting should meet the minimum colour rendering index (Ra or CRI) stated in Clause 5 of SS 531: 2006 Code of Practice for Lighting of Work Places</t>
  </si>
  <si>
    <t>To ensure a basic level of acoustic comfort for occupant health and well-being by minimising noise and vibration from mechanical and electrical equipment.
The measured indoor sound levels should comply with the recommended ambient sound levels in SS 553 : 2009 Code of Practice for Air-Conditioning and Mechanical Ventilation in Buildings or CP 13 : 1999 Code of Practice for Air-Conditioning and Mechanical Ventilation in Buildings.</t>
  </si>
  <si>
    <t>Biophilic Features</t>
  </si>
  <si>
    <t>To encourage the provision of biophilic features in the building that improves the building occupant and users’ physical and mental well-being through the following:</t>
  </si>
  <si>
    <t>a) Direct experience of nature (e.g. access to plants, air (sky garden), water(aquarium), etc.)</t>
  </si>
  <si>
    <t>b) Indirect experience of nature (e.g. images of nature, natural materials, texture, geometry, etc.)</t>
  </si>
  <si>
    <t>Electrical Sub-metering</t>
  </si>
  <si>
    <t>To encourage the provision of electrical sub-meter to monitor and trend log major energy use systems in the building:</t>
  </si>
  <si>
    <t>i) Air distribution equipment, such as AHUs and/or FCUs, to be displayed in kWh and kW/RT</t>
  </si>
  <si>
    <t>ii) Lighting for common areas</t>
  </si>
  <si>
    <t>iii) Lighting for non-common areas</t>
  </si>
  <si>
    <t>iv) Lift system</t>
  </si>
  <si>
    <t>v) Escalator system</t>
  </si>
  <si>
    <t>vi) Carpark mechanical ventilation system</t>
  </si>
  <si>
    <t>vii) Any other major energy sub-systems</t>
  </si>
  <si>
    <t>Energy Portal and Dashboard</t>
  </si>
  <si>
    <t>To encourage the provision of an energy portal and/or dashboard, which presents the building’s energy use data in a relevant manner, to the following groups</t>
  </si>
  <si>
    <t>i) Internal building and facility management team, in the form of a digital display or web-based and mobile applications</t>
  </si>
  <si>
    <t>ii) Building occupants and visitors, in the form of digital displays in common areas</t>
  </si>
  <si>
    <t>iii) Tenants, showing the total energy consumption of the building and the individual tenant consumption</t>
  </si>
  <si>
    <t>Building Management System (BMS) and Controllers with Open Protocol</t>
  </si>
  <si>
    <t>To encourage the use of BACnet, Modbus or any other non-proprietary protocol as the network of the building management system (BMS). The BMS shall be able to provide scheduled export of a set of any chosen data points with time stamp to commonly used file formats such as .csv or .xls.</t>
  </si>
  <si>
    <t>Connection to BCA Smart Chiller Portal</t>
  </si>
  <si>
    <t>To connect/provide the building chiller plant performance data to the BCA Smart Chiller Portal.</t>
  </si>
  <si>
    <t>i) Toilets</t>
  </si>
  <si>
    <t>ii) Staircases</t>
  </si>
  <si>
    <t>iii) Corridors</t>
  </si>
  <si>
    <t>iv) Lift lobbies</t>
  </si>
  <si>
    <t>v) Atriums</t>
  </si>
  <si>
    <t>Common Areas such as:</t>
  </si>
  <si>
    <t>Tenanted/ Normally occupied areas</t>
  </si>
  <si>
    <t>To encourage the integrative use of data to optimise workflow or sustain high performance and energy efficiency in a building.</t>
  </si>
  <si>
    <t>Basic Integration and Analytics</t>
  </si>
  <si>
    <t>Advanced Integration and Analytics</t>
  </si>
  <si>
    <t>GM Ref No</t>
  </si>
  <si>
    <t>Building Name</t>
  </si>
  <si>
    <t>% improvement from lighting power budget baseline in common area</t>
  </si>
  <si>
    <t>To encourage the use of energy efficient vertical transportation systems within the building</t>
  </si>
  <si>
    <t>a) Provision of lifts, escalators and travelators equipped with AC variable voltage and variable frequency (VVVF) motor drive and sleep mode features</t>
  </si>
  <si>
    <t>b) Provision of lift with regenerative drive</t>
  </si>
  <si>
    <t>To encourage the use of natural ventilation or energy efficient design and control of ventilation systems in carparks.</t>
  </si>
  <si>
    <t>To encourage the use of energy efficient ventilation systems in common areas as follows:</t>
  </si>
  <si>
    <t>v) Atrium</t>
  </si>
  <si>
    <t>To encourage the use of energy efficient practices and features which are innovative and/or have positive environmental impact.</t>
  </si>
  <si>
    <t>To encourage greater adoption and use of renewable energy.</t>
  </si>
  <si>
    <t>Solar Energy Feasibility Study</t>
  </si>
  <si>
    <t>The evaluation of a building’s potential in harnessing solar energy so as to raise awareness on viable solar opportunities within the development and allow building owners to make an informed decision regarding the adoption of solar photovoltaics</t>
  </si>
  <si>
    <t>Solar Ready Roof</t>
  </si>
  <si>
    <t>To encourage existing buildings to be ready for solar photovoltaic installation and facilitate their deployment should building owners decide to do so in the near future.
The building development shall demonstrate solar readiness for at least 50% of the feasible roof area determined through the feasibility study. Points will be awarded for each of the following:</t>
  </si>
  <si>
    <t>Adoption of Renewable Energy</t>
  </si>
  <si>
    <t>To encourage on-site generation of renewable energy to reduce the building’s power consumption from the grid and carbon emissions.</t>
  </si>
  <si>
    <t>% Replacement of Total Building Electricity Consumption by Renewable Energy</t>
  </si>
  <si>
    <t>Accredited Green Facility Management Companies</t>
  </si>
  <si>
    <t>To encourage the engagement of Green Facility Management (FM) companies, accredited by the Singapore Green Building Council (SGBC) or equivalent, in the sustainable operation and maintenance of the building</t>
  </si>
  <si>
    <t>ETTV &lt; 40W/m2</t>
  </si>
  <si>
    <t>To encourage good thermal performance of a building envelope to minimise heat gain into the building.</t>
  </si>
  <si>
    <t>Demonstration of Better Air Distribution System Efficiency</t>
  </si>
  <si>
    <t>To encourage better air distribution system efficiency of less than 0.2 kW/RT (Baseline = 0.28 kW/RT). The efficiency should be demonstrated via an energy audit.</t>
  </si>
  <si>
    <t>b) Purchase of Renewable Energy From Licenced Electricity Retailers
Minimum 5% of total building energy to be purchased from renewable energy sources and a minimum contract period of 3 years)</t>
  </si>
  <si>
    <t>c) Roof leasing for Photovoltaic installation</t>
  </si>
  <si>
    <t>a) Further Electricity Replacement By On-site Renewable Energy (Section 2.9c)</t>
  </si>
  <si>
    <t>Thermal Comfort with Elevated Air Speed</t>
  </si>
  <si>
    <t>Use of innovative solutions, such as high temperature cooling with increased air speed, to achieve thermal comfort conditions while reducing energy consumption</t>
  </si>
  <si>
    <t>Demonstrate compliance with thermal comfort criteria (-0.5 &lt; PMV &lt; 0.5 and/or PPD &lt; 10%) through ASHRAE 55, ISO 7730 or EN15251 methodologies, and energy savings through actual metering</t>
  </si>
  <si>
    <t>IAQ Surveillance Audit</t>
  </si>
  <si>
    <t>Outdoor Airflow Monitoring System</t>
  </si>
  <si>
    <t>SGBC or equivalent Certified Air Filters</t>
  </si>
  <si>
    <t>To measure and monitor the outdoor airflow volume in the following by permanent devices to ensure provision of sufficient ventilation for various spaces, in accordance with desired ventilation rates.</t>
  </si>
  <si>
    <t>a) All precool units (e.g. PAHUs)</t>
  </si>
  <si>
    <t>b) &gt; 90% coverage (by nos.) of a building’s all AHUs and/or FCUs</t>
  </si>
  <si>
    <t>Use of SGBC or equivalent certified air filters at all AHUs including PAHUs.</t>
  </si>
  <si>
    <t>Good</t>
  </si>
  <si>
    <t>Very Good</t>
  </si>
  <si>
    <t>Excellent</t>
  </si>
  <si>
    <t>Leader</t>
  </si>
  <si>
    <t>SGBC Rating of air filter</t>
  </si>
  <si>
    <t>Indoor Air Quality Trending and Monitoring</t>
  </si>
  <si>
    <t>To provide permanent trend logging and monitoring of the following parameters, with at least 1 measuring point per floor and linked to a centralised system.</t>
  </si>
  <si>
    <t>a) Temperature and relative humidity</t>
  </si>
  <si>
    <t>i) Formaldehyde</t>
  </si>
  <si>
    <t>ii) Total Volatile Organic Compounds (TVOC)</t>
  </si>
  <si>
    <t>iii) Particulate Matters</t>
  </si>
  <si>
    <t>Local Exhaust and Air Purging System</t>
  </si>
  <si>
    <t>a) Local isolation and exhaust systems to remove the pollutants at source, e.g. photocopier room with exhaust system</t>
  </si>
  <si>
    <t>b) Air purging system to replace contaminated indoor air with outdoor fresh air</t>
  </si>
  <si>
    <t>Permanent M&amp;V for Variable Refrigerant Flow (VRF) system</t>
  </si>
  <si>
    <t>a) Power meters installed for all condensing units of the VRF system</t>
  </si>
  <si>
    <t>b) Provision of permanent measuring instruments for monitoring of the energy efficiency performance of the VRF condensing units and air distribution sub-system.
The installed instrumentation shall have the capability to calculate resultant system efficiency (i.e. KW/RT or Coefficient of Performance (COP)) within ±10% uncertainty. Each measurement system shall include the sensor, any signal conditioning, the data acquisition system and wiring connecting them.
All data are to be logged at 5-minute sampling time interval, recorded to at least 1 decimal point, and available for extraction for verification purposes.</t>
  </si>
  <si>
    <t>Complementary Certifications</t>
  </si>
  <si>
    <t>To encourage tenants in a building to take up certification of their tenanted areas or premises under the BCA Green Mark occupant-centric schemes</t>
  </si>
  <si>
    <t>a) At least 1 tenant certified under a Green Mark occupant-centric scheme</t>
  </si>
  <si>
    <t>b) The building achieves the BCA Green Mark Pearl Award</t>
  </si>
  <si>
    <t>c) The building achieves the BCA Green Mark Pearl Prestige Award</t>
  </si>
  <si>
    <t>Display of BCA Green Mark Plaque and Decal</t>
  </si>
  <si>
    <t>To encourage display of the BCA Green Mark Plaque or Decal at a prominent location in the building, such as the foyer or main lobby.</t>
  </si>
  <si>
    <t>Hot Water System Ratio</t>
  </si>
  <si>
    <t>b) Provision of permanent measuring instruments for monitoring of Hot Water System Ratio</t>
  </si>
  <si>
    <t>a) To encourage the best practice for hot water system operation, points will be awarded to buildings’ Hot Water System Ratio (HWSR) which is better than baseline.</t>
  </si>
  <si>
    <t>c) Measure Heat loss from Hot Water system, can be from third party energy audit or permanent M&amp;V</t>
  </si>
  <si>
    <t>Persistent Bio-Cumulative and Toxic (PBT) Free Lighting</t>
  </si>
  <si>
    <t>Provision of Persistent Bio-cumulative and Toxic (PBT) free lighting</t>
  </si>
  <si>
    <t>Other Advanced Green Efforts</t>
  </si>
  <si>
    <t>Buildings which demonstrate substantial and exemplary performance to a specific sustainability indicator or outcome addressed within Green Mark beyond what is specified in the criteria, assessed on a case-by-case basis</t>
  </si>
  <si>
    <t>Green Products</t>
  </si>
  <si>
    <t>Total points scored</t>
  </si>
  <si>
    <t>Green Materials</t>
  </si>
  <si>
    <t>REMARKS</t>
  </si>
  <si>
    <r>
      <t>Total Net Lettable Area (m</t>
    </r>
    <r>
      <rPr>
        <vertAlign val="superscript"/>
        <sz val="11"/>
        <color theme="1"/>
        <rFont val="Cambria"/>
        <family val="1"/>
      </rPr>
      <t>2</t>
    </r>
    <r>
      <rPr>
        <sz val="11"/>
        <color theme="1"/>
        <rFont val="Cambria"/>
        <family val="1"/>
      </rPr>
      <t>)</t>
    </r>
  </si>
  <si>
    <r>
      <t>Net Lettable Area on Green Lease (m</t>
    </r>
    <r>
      <rPr>
        <vertAlign val="superscript"/>
        <sz val="11"/>
        <color theme="1"/>
        <rFont val="Cambria"/>
        <family val="1"/>
      </rPr>
      <t>2</t>
    </r>
    <r>
      <rPr>
        <sz val="11"/>
        <color theme="1"/>
        <rFont val="Cambria"/>
        <family val="1"/>
      </rPr>
      <t>)</t>
    </r>
  </si>
  <si>
    <r>
      <t>Total roof area (m</t>
    </r>
    <r>
      <rPr>
        <vertAlign val="superscript"/>
        <sz val="11"/>
        <color theme="1"/>
        <rFont val="Cambria"/>
        <family val="1"/>
      </rPr>
      <t>2</t>
    </r>
    <r>
      <rPr>
        <sz val="11"/>
        <color theme="1"/>
        <rFont val="Cambria"/>
        <family val="1"/>
      </rPr>
      <t>)</t>
    </r>
  </si>
  <si>
    <r>
      <t>Total green roof area (m</t>
    </r>
    <r>
      <rPr>
        <vertAlign val="superscript"/>
        <sz val="11"/>
        <color theme="1"/>
        <rFont val="Cambria"/>
        <family val="1"/>
      </rPr>
      <t>2</t>
    </r>
    <r>
      <rPr>
        <sz val="11"/>
        <color theme="1"/>
        <rFont val="Cambria"/>
        <family val="1"/>
      </rPr>
      <t>)</t>
    </r>
  </si>
  <si>
    <r>
      <t>Total verticial greenery area (m</t>
    </r>
    <r>
      <rPr>
        <vertAlign val="superscript"/>
        <sz val="11"/>
        <color theme="1"/>
        <rFont val="Cambria"/>
        <family val="1"/>
      </rPr>
      <t>2</t>
    </r>
    <r>
      <rPr>
        <sz val="11"/>
        <color theme="1"/>
        <rFont val="Cambria"/>
        <family val="1"/>
      </rPr>
      <t>)</t>
    </r>
  </si>
  <si>
    <t>REMARK</t>
  </si>
  <si>
    <r>
      <t>Envelope Thermal Transfer Value (ETTV) (W/m</t>
    </r>
    <r>
      <rPr>
        <vertAlign val="superscript"/>
        <sz val="11"/>
        <color theme="1"/>
        <rFont val="Cambria"/>
        <family val="1"/>
      </rPr>
      <t>2</t>
    </r>
    <r>
      <rPr>
        <sz val="11"/>
        <color theme="1"/>
        <rFont val="Cambria"/>
        <family val="1"/>
      </rPr>
      <t>)</t>
    </r>
  </si>
  <si>
    <r>
      <t xml:space="preserve">i) </t>
    </r>
    <r>
      <rPr>
        <u/>
        <sz val="11"/>
        <color theme="1"/>
        <rFont val="Cambria"/>
        <family val="1"/>
      </rPr>
      <t>Structural readiness</t>
    </r>
    <r>
      <rPr>
        <sz val="11"/>
        <color theme="1"/>
        <rFont val="Cambria"/>
        <family val="1"/>
      </rPr>
      <t>: Provisions to accommodate optimised structural installation of solar panels on rooftop spaces</t>
    </r>
  </si>
  <si>
    <r>
      <t>ii)</t>
    </r>
    <r>
      <rPr>
        <u/>
        <sz val="11"/>
        <color theme="1"/>
        <rFont val="Cambria"/>
        <family val="1"/>
      </rPr>
      <t xml:space="preserve"> Electrical readiness</t>
    </r>
    <r>
      <rPr>
        <sz val="11"/>
        <color theme="1"/>
        <rFont val="Cambria"/>
        <family val="1"/>
      </rPr>
      <t>: Provisions to accommodate optimised electrical installation of solar panels on rooftop spaces</t>
    </r>
  </si>
  <si>
    <r>
      <t xml:space="preserve">iii) </t>
    </r>
    <r>
      <rPr>
        <u/>
        <sz val="11"/>
        <color theme="1"/>
        <rFont val="Cambria"/>
        <family val="1"/>
      </rPr>
      <t>Spatial readiness</t>
    </r>
    <r>
      <rPr>
        <sz val="11"/>
        <color theme="1"/>
        <rFont val="Cambria"/>
        <family val="1"/>
      </rPr>
      <t>: Provisions to optimise the available non-shaded rooftop area for photovoltaic and/or adoption of recommendations for roof spatial optimisation outlined in the solar energy feasibility study.</t>
    </r>
  </si>
  <si>
    <t>% energy savings over the total annual building energy consumption</t>
  </si>
  <si>
    <t>Applicable to non air-conditioned buildings, with an aggregate non air-conditioned building area &gt; 10% of the total floor area excluding car parks and common areas.</t>
  </si>
  <si>
    <t>Natural Ventilation (only applicable to occupied areas, excluding circulation, plant rooms and transit areas)</t>
  </si>
  <si>
    <t>% of natural ventilated areas with window openings facing north and south directions and cross ventilation demonstrated</t>
  </si>
  <si>
    <t>Mechanical Ventilation</t>
  </si>
  <si>
    <t>To encourage the use of energy efficient mechanical ventilation system as the preferred ventilation mode to reduce the use of air-conditioning in buildings.</t>
  </si>
  <si>
    <t>% Improvement from baseline</t>
  </si>
  <si>
    <t>System 2 Cooling Load (RT)</t>
  </si>
  <si>
    <t>System 1 Cooling Load (RT)</t>
  </si>
  <si>
    <t>Air Distribution System</t>
  </si>
  <si>
    <t>District Cooling System</t>
  </si>
  <si>
    <t>Air distribution operating system efficiency baseline: 0.28 kW/RT</t>
  </si>
  <si>
    <t>Section 2.2</t>
  </si>
  <si>
    <t>Selection.no</t>
  </si>
  <si>
    <t>System 1 cooling load</t>
  </si>
  <si>
    <t>Aircon efficiency system 
(for cooling load &lt;500)</t>
  </si>
  <si>
    <r>
      <t xml:space="preserve">Aircon efficiency system 
(for cooling load </t>
    </r>
    <r>
      <rPr>
        <b/>
        <sz val="11"/>
        <color theme="1"/>
        <rFont val="Calibri"/>
        <family val="2"/>
      </rPr>
      <t>≥ 500)</t>
    </r>
  </si>
  <si>
    <t>User selection</t>
  </si>
  <si>
    <t>(Nothing is selected)</t>
  </si>
  <si>
    <t>Aircon eff. System (cooling load &lt;500)</t>
  </si>
  <si>
    <t>Aircon eff. System (cooling load ≥ 500)</t>
  </si>
  <si>
    <t>1. Points scored</t>
  </si>
  <si>
    <t>2. Final points awarded</t>
  </si>
  <si>
    <t>Selection 1</t>
  </si>
  <si>
    <t>Selection 2</t>
  </si>
  <si>
    <t>Type of air-conditioning system (Primary)</t>
  </si>
  <si>
    <t>a) Mechanically ventilated car parks with carbon monoxide (CO) sensor control</t>
  </si>
  <si>
    <t>b) Carparks with natural ventilation /No carpark</t>
  </si>
  <si>
    <r>
      <t>Total Gross Floor Area (m</t>
    </r>
    <r>
      <rPr>
        <vertAlign val="superscript"/>
        <sz val="11"/>
        <color theme="1"/>
        <rFont val="Cambria"/>
        <family val="1"/>
      </rPr>
      <t>2</t>
    </r>
    <r>
      <rPr>
        <sz val="11"/>
        <color theme="1"/>
        <rFont val="Cambria"/>
        <family val="1"/>
      </rPr>
      <t>)</t>
    </r>
  </si>
  <si>
    <r>
      <t>Total Air-Condtioned Area (m</t>
    </r>
    <r>
      <rPr>
        <vertAlign val="superscript"/>
        <sz val="11"/>
        <color theme="1"/>
        <rFont val="Cambria"/>
        <family val="1"/>
      </rPr>
      <t>2</t>
    </r>
    <r>
      <rPr>
        <sz val="11"/>
        <color theme="1"/>
        <rFont val="Cambria"/>
        <family val="1"/>
      </rPr>
      <t>)</t>
    </r>
  </si>
  <si>
    <r>
      <t>Total Non Air-Condtioned Area (m</t>
    </r>
    <r>
      <rPr>
        <vertAlign val="superscript"/>
        <sz val="11"/>
        <color theme="1"/>
        <rFont val="Cambria"/>
        <family val="1"/>
      </rPr>
      <t>2</t>
    </r>
    <r>
      <rPr>
        <sz val="11"/>
        <color theme="1"/>
        <rFont val="Cambria"/>
        <family val="1"/>
      </rPr>
      <t>)</t>
    </r>
  </si>
  <si>
    <t>Use of natural ventilation</t>
  </si>
  <si>
    <t>Building Type</t>
  </si>
  <si>
    <r>
      <t>Gross Floor Area (m</t>
    </r>
    <r>
      <rPr>
        <vertAlign val="superscript"/>
        <sz val="11"/>
        <color theme="1"/>
        <rFont val="Cambria"/>
        <family val="1"/>
      </rPr>
      <t>2</t>
    </r>
    <r>
      <rPr>
        <sz val="11"/>
        <color theme="1"/>
        <rFont val="Cambria"/>
        <family val="1"/>
      </rPr>
      <t>)</t>
    </r>
  </si>
  <si>
    <t>PRE-REQUISITES</t>
  </si>
  <si>
    <t>AIR CONDITIONING SYSTEM MINIMUM OPERATING EFFICIENCY</t>
  </si>
  <si>
    <t>ENERGY IMPROVEMENT ON LIGHTING SYSTEM</t>
  </si>
  <si>
    <t>ENERGY CONSUMPTION MONITORING</t>
  </si>
  <si>
    <t>CHILLER PLANT MEASUREMENT AND VERIFICATION (M&amp;V) INSTRUMENTATION</t>
  </si>
  <si>
    <t>COMPLY</t>
  </si>
  <si>
    <t>WATER CONSUMPTION MONITORING</t>
  </si>
  <si>
    <t>RECYCLING FACILITIES</t>
  </si>
  <si>
    <t>TENANT AND OCCUPANT ENGAGEMENT</t>
  </si>
  <si>
    <t>INDOOR TEMPERATURE</t>
  </si>
  <si>
    <t>INDOOR AIR QUALITY (IAQ) SURVEILLANCE AUDIT</t>
  </si>
  <si>
    <t>POST OCCUPANCY EVALUATION (POE)</t>
  </si>
  <si>
    <r>
      <t>Indoor temperature maintained at 26</t>
    </r>
    <r>
      <rPr>
        <vertAlign val="superscript"/>
        <sz val="11"/>
        <color theme="1"/>
        <rFont val="Cambria"/>
        <family val="1"/>
      </rPr>
      <t>o</t>
    </r>
    <r>
      <rPr>
        <sz val="11"/>
        <color theme="1"/>
        <rFont val="Cambria"/>
        <family val="1"/>
      </rPr>
      <t>C and above</t>
    </r>
  </si>
  <si>
    <r>
      <t xml:space="preserve">IAQ surveillance audit is conducted once every 3 years by an accredited laboratory under Singapore Accreditation Council with respect to the recommended IAQ parameters and acceptable limits stated in Table 1 of SS554: 2016 based on the </t>
    </r>
    <r>
      <rPr>
        <b/>
        <u/>
        <sz val="11"/>
        <color theme="1"/>
        <rFont val="Cambria"/>
        <family val="1"/>
      </rPr>
      <t>reference methods.</t>
    </r>
  </si>
  <si>
    <r>
      <t>iii) CO</t>
    </r>
    <r>
      <rPr>
        <vertAlign val="subscript"/>
        <sz val="11"/>
        <color theme="1"/>
        <rFont val="Cambria"/>
        <family val="1"/>
      </rPr>
      <t>2</t>
    </r>
    <r>
      <rPr>
        <sz val="11"/>
        <color theme="1"/>
        <rFont val="Cambria"/>
        <family val="1"/>
      </rPr>
      <t xml:space="preserve"> concentration</t>
    </r>
  </si>
  <si>
    <r>
      <t xml:space="preserve">To encourage the use of </t>
    </r>
    <r>
      <rPr>
        <b/>
        <u/>
        <sz val="11"/>
        <color theme="1"/>
        <rFont val="Cambria"/>
        <family val="1"/>
      </rPr>
      <t>occupancy-based controls</t>
    </r>
    <r>
      <rPr>
        <sz val="11"/>
        <color theme="1"/>
        <rFont val="Cambria"/>
        <family val="1"/>
      </rPr>
      <t xml:space="preserve"> to monitor and regulate the temperature, airflow, or lighting brightness of the following spaces in the building to optimise the building’s energy consumption for air-conditioning, mechanical ventilation (ACMV) and lighting</t>
    </r>
  </si>
  <si>
    <r>
      <rPr>
        <b/>
        <u/>
        <sz val="11"/>
        <color theme="1"/>
        <rFont val="Cambria"/>
        <family val="1"/>
      </rPr>
      <t>% coverage</t>
    </r>
    <r>
      <rPr>
        <sz val="11"/>
        <color theme="1"/>
        <rFont val="Cambria"/>
        <family val="1"/>
      </rPr>
      <t xml:space="preserve"> of occupied area, such as offices, retail shops or hotel guest rooms</t>
    </r>
  </si>
  <si>
    <t>% Net Lettable Area on Green Lease</t>
  </si>
  <si>
    <t>Guaranteed efficiency for chilled water system (kW/RT)</t>
  </si>
  <si>
    <t>Guaranteed efficiency for air distribution system (kW/RT)</t>
  </si>
  <si>
    <t>Air distribution operating system efficiency</t>
  </si>
  <si>
    <r>
      <t>EUI</t>
    </r>
    <r>
      <rPr>
        <vertAlign val="subscript"/>
        <sz val="11"/>
        <color theme="1"/>
        <rFont val="Cambria"/>
        <family val="1"/>
      </rPr>
      <t>AC</t>
    </r>
    <r>
      <rPr>
        <sz val="11"/>
        <color theme="1"/>
        <rFont val="Cambria"/>
        <family val="1"/>
      </rPr>
      <t>(kWh/m</t>
    </r>
    <r>
      <rPr>
        <vertAlign val="superscript"/>
        <sz val="11"/>
        <color theme="1"/>
        <rFont val="Cambria"/>
        <family val="1"/>
      </rPr>
      <t>2</t>
    </r>
    <r>
      <rPr>
        <sz val="11"/>
        <color theme="1"/>
        <rFont val="Calibri"/>
        <family val="2"/>
      </rPr>
      <t>·</t>
    </r>
    <r>
      <rPr>
        <sz val="9.35"/>
        <color theme="1"/>
        <rFont val="Cambria"/>
        <family val="1"/>
      </rPr>
      <t>yr</t>
    </r>
    <r>
      <rPr>
        <sz val="11"/>
        <color theme="1"/>
        <rFont val="Cambria"/>
        <family val="1"/>
      </rPr>
      <t>)</t>
    </r>
  </si>
  <si>
    <r>
      <t>EUI</t>
    </r>
    <r>
      <rPr>
        <vertAlign val="subscript"/>
        <sz val="11"/>
        <color theme="1"/>
        <rFont val="Cambria"/>
        <family val="1"/>
      </rPr>
      <t xml:space="preserve">AC# </t>
    </r>
    <r>
      <rPr>
        <sz val="11"/>
        <color theme="1"/>
        <rFont val="Cambria"/>
        <family val="1"/>
      </rPr>
      <t>(kWh/m</t>
    </r>
    <r>
      <rPr>
        <vertAlign val="superscript"/>
        <sz val="11"/>
        <color theme="1"/>
        <rFont val="Cambria"/>
        <family val="1"/>
      </rPr>
      <t>2</t>
    </r>
    <r>
      <rPr>
        <sz val="11"/>
        <color theme="1"/>
        <rFont val="Cambria"/>
        <family val="1"/>
      </rPr>
      <t>·yr)</t>
    </r>
  </si>
  <si>
    <t>Total Area with Natural Ventilation</t>
  </si>
  <si>
    <t>Total Area with Mechanical Ventilation</t>
  </si>
  <si>
    <t>Efficiency of Mechanical Ventilation (W/CMH)</t>
  </si>
  <si>
    <r>
      <t>Carpark area with natural ventilation (m</t>
    </r>
    <r>
      <rPr>
        <vertAlign val="superscript"/>
        <sz val="11"/>
        <color theme="1"/>
        <rFont val="Cambria"/>
        <family val="1"/>
      </rPr>
      <t>2</t>
    </r>
    <r>
      <rPr>
        <sz val="11"/>
        <color theme="1"/>
        <rFont val="Cambria"/>
        <family val="1"/>
      </rPr>
      <t>)</t>
    </r>
  </si>
  <si>
    <r>
      <t>Carpark area with mechanical ventilation (m</t>
    </r>
    <r>
      <rPr>
        <vertAlign val="superscript"/>
        <sz val="11"/>
        <color theme="1"/>
        <rFont val="Cambria"/>
        <family val="1"/>
      </rPr>
      <t>2</t>
    </r>
    <r>
      <rPr>
        <sz val="11"/>
        <color theme="1"/>
        <rFont val="Cambria"/>
        <family val="1"/>
      </rPr>
      <t>)</t>
    </r>
  </si>
  <si>
    <r>
      <t>Energy Use Intensity (EUI) (kWh/m</t>
    </r>
    <r>
      <rPr>
        <vertAlign val="superscript"/>
        <sz val="11"/>
        <color theme="1"/>
        <rFont val="Cambria"/>
        <family val="1"/>
      </rPr>
      <t>2</t>
    </r>
    <r>
      <rPr>
        <sz val="11"/>
        <color theme="1"/>
        <rFont val="Calibri"/>
        <family val="2"/>
      </rPr>
      <t>·</t>
    </r>
    <r>
      <rPr>
        <sz val="11"/>
        <color theme="1"/>
        <rFont val="Cambria"/>
        <family val="1"/>
      </rPr>
      <t>yr)</t>
    </r>
  </si>
  <si>
    <r>
      <t>Amount of water savings (m</t>
    </r>
    <r>
      <rPr>
        <vertAlign val="superscript"/>
        <sz val="11"/>
        <color theme="1"/>
        <rFont val="Cambria"/>
        <family val="1"/>
      </rPr>
      <t>3</t>
    </r>
    <r>
      <rPr>
        <sz val="11"/>
        <color theme="1"/>
        <rFont val="Cambria"/>
        <family val="1"/>
      </rPr>
      <t>)</t>
    </r>
  </si>
  <si>
    <t>ii) light bulbs / fluorescent tubes</t>
  </si>
  <si>
    <t>b) Common Indoor Air Pollutants</t>
  </si>
  <si>
    <t>% Electricity Replacement</t>
  </si>
  <si>
    <t>a) Use adaptive control algorithms to improve equipment efficiency</t>
  </si>
  <si>
    <t>b) Identify systems that deviate from statistically expected performance</t>
  </si>
  <si>
    <t>d) Monitor equipment condition for preventive maintenance</t>
  </si>
  <si>
    <t>c) Detect equipment that run beyond operating hours or routine settings</t>
  </si>
  <si>
    <t>e) Detect deviation to find improperly operating sensors or actuators</t>
  </si>
  <si>
    <t>Description of basic integration and analytics</t>
  </si>
  <si>
    <t>Description of advanced integration and analytics</t>
  </si>
  <si>
    <t>a) Whole system optimisation using a network of HVAC equipment</t>
  </si>
  <si>
    <t>b) Integration of sub-systems to optimise resource use or improve user experience</t>
  </si>
  <si>
    <t>c) Use of Building Information Modelling (BIM) or similar applications that provide location-based visualisation of multiple sensors</t>
  </si>
  <si>
    <t>d) Participate in a Demand Response programme</t>
  </si>
  <si>
    <t>Low impact</t>
  </si>
  <si>
    <t>High Impact</t>
  </si>
  <si>
    <t>Medium Impact</t>
  </si>
  <si>
    <t>Description of Other Advanced Green Efforts</t>
  </si>
  <si>
    <t>ii) Advanced Green Effort</t>
  </si>
  <si>
    <t>i) Advanced Green Effort</t>
  </si>
  <si>
    <t>iii) Advanced Green Effort</t>
  </si>
  <si>
    <t>iv) Advanced Green Effort</t>
  </si>
  <si>
    <t>v) Advanced Green Effort</t>
  </si>
  <si>
    <t>vi) Advanced Green Effort</t>
  </si>
  <si>
    <r>
      <t xml:space="preserve">To encourage the use of non-structural building component products certified by an approved local certification body. Structural and M&amp;E components are excluded.
Points will be awarded based on the weightage and the extent of coverage and impact (i.e. weightage x extent of coverage and impact).
</t>
    </r>
    <r>
      <rPr>
        <b/>
        <sz val="11"/>
        <color theme="1"/>
        <rFont val="Cambria"/>
        <family val="1"/>
      </rPr>
      <t>Please indicate the green material and its respective rating and impact in the remark column. No points will be scored if information is not provided.</t>
    </r>
  </si>
  <si>
    <t>Retail</t>
  </si>
  <si>
    <t>Institution</t>
  </si>
  <si>
    <t>Industrial</t>
  </si>
  <si>
    <t>Mixed Used Development</t>
  </si>
  <si>
    <t>Hotel</t>
  </si>
  <si>
    <t>Serviced Apartment</t>
  </si>
  <si>
    <t>Others</t>
  </si>
  <si>
    <t>Office</t>
  </si>
  <si>
    <r>
      <t xml:space="preserve">To encourage use of building services and mechanical and electrical (M&amp;E) products certified by an approved local certification body. Structural components are excluded.
</t>
    </r>
    <r>
      <rPr>
        <b/>
        <sz val="11"/>
        <color theme="1"/>
        <rFont val="Cambria"/>
        <family val="1"/>
      </rPr>
      <t>Please indicate the green material and its respective rating and impact in the remark column. No points will be scored if information is not provided.</t>
    </r>
  </si>
  <si>
    <r>
      <t>GFA (m</t>
    </r>
    <r>
      <rPr>
        <vertAlign val="superscript"/>
        <sz val="11"/>
        <color theme="1"/>
        <rFont val="Cambria"/>
        <family val="1"/>
      </rPr>
      <t>2</t>
    </r>
    <r>
      <rPr>
        <sz val="11"/>
        <color theme="1"/>
        <rFont val="Cambria"/>
        <family val="1"/>
      </rPr>
      <t>)</t>
    </r>
  </si>
  <si>
    <t>Other type of air-conditioning system</t>
  </si>
  <si>
    <t xml:space="preserve">Air-cooled Chilled-water Plant / Unitary Air-conditioners/ VRF with Permanent M&amp;V </t>
  </si>
  <si>
    <t>Air-cooled Chilled-water Plant / Unitary Air-conditioners/ VRF without Permanent M&amp;V</t>
  </si>
  <si>
    <t>c) Carpark with both natural and mechanical ventilation (CO sensor)</t>
  </si>
  <si>
    <t>% of Occupied Non Air-Conditioned Area</t>
  </si>
  <si>
    <t>To encourage the adoption of Smart FM in area such as M&amp;E services, security, environmental services etc to improve workflow processes, increase productivity and enhance service delivery for sustainable operation and maintenance of the building.</t>
  </si>
  <si>
    <t>a) Conduct a feasibility study using the 5-step SMART process template including cost benefit analysis</t>
  </si>
  <si>
    <t>b) Implementation of smart technology solutions such as
-Usage of robotics for feedback and optimisation of processes
-Usage of video  monitoring coupled with facial recognition for incident detection in security function
-Workflow automation to streamline FM services with feedback loop
-Use of digital twin to monitor assets and enable predictive maintenance</t>
  </si>
  <si>
    <t>i) Smart Technology Solution</t>
  </si>
  <si>
    <t>Description of smart technology solution</t>
  </si>
  <si>
    <t>ii) Smart Technology Solution</t>
  </si>
  <si>
    <t>iii) Smart Technology Solution</t>
  </si>
  <si>
    <t>dd</t>
  </si>
  <si>
    <t>Adoption of Smart Facilities Management (FM)</t>
  </si>
  <si>
    <t>a) Certified Green Mark AP (FM)/ GMFM</t>
  </si>
  <si>
    <t>b) Certified Green Mark AAP (FM)/ GMFP</t>
  </si>
  <si>
    <t>Provision of electrical vehicle charging and parking infrastructure for vehicles or to facilitate electric car-sharing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</si>
</sst>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19" x14ac:knownFonts="1">
    <font>
      <sz val="11"/>
      <color theme="1"/>
      <name val="Calibri"/>
      <family val="2"/>
      <scheme val="minor"/>
    </font>
    <font>
      <sz val="11"/>
      <color theme="1"/>
      <name val="Cambria"/>
      <family val="1"/>
    </font>
    <font>
      <sz val="11"/>
      <color theme="0"/>
      <name val="Cambria"/>
      <family val="1"/>
    </font>
    <font>
      <b/>
      <sz val="11"/>
      <color theme="1"/>
      <name val="Calibri"/>
      <family val="2"/>
      <scheme val="minor"/>
    </font>
    <font>
      <sz val="11"/>
      <color theme="0"/>
      <name val="Calibri"/>
      <family val="2"/>
      <scheme val="minor"/>
    </font>
    <font>
      <sz val="8"/>
      <color rgb="FF000000"/>
      <name val="Segoe UI"/>
      <family val="2"/>
    </font>
    <font>
      <b/>
      <sz val="11"/>
      <color theme="1"/>
      <name val="Cambria"/>
      <family val="1"/>
    </font>
    <font>
      <vertAlign val="superscript"/>
      <sz val="11"/>
      <color theme="1"/>
      <name val="Cambria"/>
      <family val="1"/>
    </font>
    <font>
      <u/>
      <sz val="11"/>
      <color theme="1"/>
      <name val="Cambria"/>
      <family val="1"/>
    </font>
    <font>
      <b/>
      <sz val="11"/>
      <color theme="1"/>
      <name val="Calibri"/>
      <family val="2"/>
    </font>
    <font>
      <sz val="9"/>
      <color indexed="81"/>
      <name val="Tahoma"/>
      <family val="2"/>
    </font>
    <font>
      <b/>
      <sz val="9"/>
      <color indexed="81"/>
      <name val="Tahoma"/>
      <family val="2"/>
    </font>
    <font>
      <b/>
      <sz val="11"/>
      <color theme="0"/>
      <name val="Calibri"/>
      <family val="2"/>
      <scheme val="minor"/>
    </font>
    <font>
      <b/>
      <sz val="11"/>
      <color theme="0"/>
      <name val="Cambria"/>
      <family val="1"/>
    </font>
    <font>
      <b/>
      <u/>
      <sz val="11"/>
      <color theme="1"/>
      <name val="Cambria"/>
      <family val="1"/>
    </font>
    <font>
      <vertAlign val="subscript"/>
      <sz val="11"/>
      <color theme="1"/>
      <name val="Cambria"/>
      <family val="1"/>
    </font>
    <font>
      <sz val="11"/>
      <color theme="1"/>
      <name val="Calibri"/>
      <family val="2"/>
    </font>
    <font>
      <sz val="9.35"/>
      <color theme="1"/>
      <name val="Cambria"/>
      <family val="1"/>
    </font>
    <font>
      <sz val="11"/>
      <color theme="1"/>
      <name val="Calibri"/>
      <family val="2"/>
      <scheme val="minor"/>
    </font>
  </fonts>
  <fills count="21">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theme="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8" fillId="0" borderId="0" applyFont="0" applyFill="0" applyBorder="0" applyAlignment="0" applyProtection="0"/>
  </cellStyleXfs>
  <cellXfs count="288">
    <xf numFmtId="0" fontId="0" fillId="0" borderId="0" xfId="0"/>
    <xf numFmtId="0" fontId="1" fillId="0" borderId="0" xfId="0" applyFont="1"/>
    <xf numFmtId="0" fontId="1" fillId="0" borderId="0" xfId="0" applyFont="1" applyFill="1"/>
    <xf numFmtId="0" fontId="2" fillId="4" borderId="1" xfId="0" applyFont="1" applyFill="1" applyBorder="1"/>
    <xf numFmtId="0" fontId="1" fillId="0" borderId="1" xfId="0" applyFont="1" applyBorder="1"/>
    <xf numFmtId="0" fontId="1" fillId="0" borderId="1" xfId="0" applyFont="1" applyFill="1" applyBorder="1" applyAlignment="1">
      <alignment horizontal="center"/>
    </xf>
    <xf numFmtId="0" fontId="1" fillId="0" borderId="1" xfId="0" applyFont="1" applyFill="1" applyBorder="1"/>
    <xf numFmtId="0" fontId="0" fillId="0" borderId="1" xfId="0" applyBorder="1"/>
    <xf numFmtId="0" fontId="1" fillId="5" borderId="1" xfId="0" applyFont="1" applyFill="1" applyBorder="1"/>
    <xf numFmtId="0" fontId="0" fillId="5" borderId="1" xfId="0" applyFill="1" applyBorder="1"/>
    <xf numFmtId="0" fontId="1" fillId="0" borderId="0" xfId="0" applyFont="1" applyAlignment="1">
      <alignment horizontal="center"/>
    </xf>
    <xf numFmtId="0" fontId="1" fillId="0" borderId="1" xfId="0" applyFont="1" applyBorder="1" applyAlignment="1">
      <alignment horizontal="center"/>
    </xf>
    <xf numFmtId="0" fontId="3" fillId="0" borderId="0" xfId="0" applyFont="1"/>
    <xf numFmtId="0" fontId="0" fillId="0" borderId="0" xfId="0" applyBorder="1"/>
    <xf numFmtId="0" fontId="0" fillId="0" borderId="0" xfId="0" applyAlignment="1">
      <alignment horizontal="center" vertical="center"/>
    </xf>
    <xf numFmtId="0" fontId="1" fillId="0" borderId="0" xfId="0" applyFont="1" applyFill="1" applyAlignment="1">
      <alignment horizontal="center" wrapText="1"/>
    </xf>
    <xf numFmtId="0" fontId="1" fillId="0" borderId="0" xfId="0" applyFont="1" applyFill="1" applyAlignment="1">
      <alignment horizontal="center"/>
    </xf>
    <xf numFmtId="0" fontId="2" fillId="6" borderId="1" xfId="0" applyFont="1" applyFill="1" applyBorder="1"/>
    <xf numFmtId="49" fontId="2" fillId="6" borderId="1" xfId="0" applyNumberFormat="1" applyFont="1" applyFill="1" applyBorder="1" applyAlignment="1">
      <alignment horizontal="center"/>
    </xf>
    <xf numFmtId="0" fontId="2" fillId="6" borderId="1" xfId="0" applyFont="1" applyFill="1" applyBorder="1" applyAlignment="1">
      <alignment wrapText="1"/>
    </xf>
    <xf numFmtId="0" fontId="1" fillId="0" borderId="0" xfId="0" applyFont="1" applyBorder="1"/>
    <xf numFmtId="0" fontId="1" fillId="0" borderId="4" xfId="0" applyFont="1" applyBorder="1"/>
    <xf numFmtId="0" fontId="6" fillId="0" borderId="0" xfId="0" applyFont="1"/>
    <xf numFmtId="0" fontId="1" fillId="0" borderId="0" xfId="0" applyFont="1" applyAlignment="1">
      <alignment horizontal="center" vertical="center"/>
    </xf>
    <xf numFmtId="0" fontId="2" fillId="6" borderId="3" xfId="0" applyFont="1" applyFill="1" applyBorder="1"/>
    <xf numFmtId="0" fontId="2" fillId="6" borderId="4" xfId="0" applyFont="1" applyFill="1" applyBorder="1"/>
    <xf numFmtId="0" fontId="1" fillId="0" borderId="6" xfId="0" applyFont="1" applyBorder="1"/>
    <xf numFmtId="0" fontId="1" fillId="0" borderId="0" xfId="0" applyFont="1" applyBorder="1" applyAlignment="1">
      <alignment horizontal="left" wrapText="1"/>
    </xf>
    <xf numFmtId="0" fontId="1" fillId="0" borderId="3" xfId="0" applyFont="1" applyBorder="1"/>
    <xf numFmtId="0" fontId="1" fillId="0" borderId="0" xfId="0" applyFont="1" applyBorder="1" applyAlignment="1">
      <alignment horizontal="right"/>
    </xf>
    <xf numFmtId="0" fontId="1" fillId="0" borderId="8" xfId="0" applyFont="1" applyBorder="1"/>
    <xf numFmtId="0" fontId="1" fillId="0" borderId="2" xfId="0" applyFont="1" applyBorder="1" applyAlignment="1">
      <alignment horizontal="right"/>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wrapText="1"/>
    </xf>
    <xf numFmtId="0" fontId="1" fillId="0" borderId="2" xfId="0" applyFont="1" applyBorder="1" applyAlignment="1">
      <alignment horizontal="right" wrapText="1"/>
    </xf>
    <xf numFmtId="0" fontId="1" fillId="0" borderId="2" xfId="0" applyFont="1" applyBorder="1"/>
    <xf numFmtId="0" fontId="1" fillId="0" borderId="2" xfId="0" applyFont="1" applyBorder="1" applyAlignment="1">
      <alignment wrapText="1"/>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right" wrapText="1"/>
    </xf>
    <xf numFmtId="0" fontId="2" fillId="6" borderId="4" xfId="0" applyFont="1" applyFill="1" applyBorder="1" applyAlignment="1">
      <alignment wrapText="1"/>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6" fillId="0" borderId="6" xfId="0" applyFont="1" applyBorder="1" applyAlignment="1">
      <alignment horizontal="right"/>
    </xf>
    <xf numFmtId="0" fontId="6" fillId="0" borderId="0" xfId="0" applyFont="1" applyBorder="1" applyAlignment="1">
      <alignment wrapText="1"/>
    </xf>
    <xf numFmtId="0" fontId="6" fillId="0" borderId="0" xfId="0" applyFont="1" applyBorder="1"/>
    <xf numFmtId="0" fontId="8" fillId="0" borderId="0" xfId="0" applyFont="1" applyBorder="1" applyAlignment="1">
      <alignment horizontal="left"/>
    </xf>
    <xf numFmtId="0" fontId="1" fillId="0" borderId="6" xfId="0" applyFont="1" applyBorder="1" applyAlignment="1">
      <alignment horizontal="right"/>
    </xf>
    <xf numFmtId="49" fontId="1" fillId="0" borderId="6" xfId="0" applyNumberFormat="1" applyFont="1" applyBorder="1"/>
    <xf numFmtId="2" fontId="2" fillId="6" borderId="3" xfId="0" applyNumberFormat="1" applyFont="1" applyFill="1" applyBorder="1"/>
    <xf numFmtId="0" fontId="1" fillId="0" borderId="0" xfId="0" applyFont="1" applyBorder="1" applyAlignment="1"/>
    <xf numFmtId="0" fontId="1" fillId="0" borderId="6" xfId="0" applyFont="1" applyFill="1" applyBorder="1"/>
    <xf numFmtId="0" fontId="1" fillId="0" borderId="0" xfId="0" applyFont="1" applyBorder="1" applyAlignment="1">
      <alignment horizontal="left"/>
    </xf>
    <xf numFmtId="0" fontId="1" fillId="0" borderId="0" xfId="0" applyFont="1" applyFill="1" applyBorder="1" applyAlignment="1">
      <alignment horizontal="left" wrapText="1"/>
    </xf>
    <xf numFmtId="0" fontId="6" fillId="0" borderId="6" xfId="0" applyFont="1" applyBorder="1" applyAlignment="1">
      <alignment horizontal="right" vertical="center"/>
    </xf>
    <xf numFmtId="0" fontId="6" fillId="0" borderId="0" xfId="0" applyFont="1" applyFill="1" applyBorder="1" applyAlignment="1">
      <alignment wrapText="1"/>
    </xf>
    <xf numFmtId="0" fontId="1" fillId="0" borderId="2" xfId="0" applyFont="1" applyFill="1" applyBorder="1" applyAlignment="1">
      <alignment wrapText="1"/>
    </xf>
    <xf numFmtId="0" fontId="6" fillId="0" borderId="1" xfId="0" applyFont="1" applyBorder="1" applyAlignment="1">
      <alignment horizontal="center" vertical="center"/>
    </xf>
    <xf numFmtId="0" fontId="1" fillId="0" borderId="9" xfId="0" applyFont="1" applyBorder="1"/>
    <xf numFmtId="0" fontId="1" fillId="0" borderId="5" xfId="0" applyFont="1" applyBorder="1"/>
    <xf numFmtId="0" fontId="1" fillId="0" borderId="0" xfId="0" applyFont="1" applyFill="1" applyBorder="1" applyAlignment="1">
      <alignment wrapText="1"/>
    </xf>
    <xf numFmtId="0" fontId="1" fillId="0" borderId="7" xfId="0" applyFont="1" applyBorder="1"/>
    <xf numFmtId="0" fontId="1" fillId="0" borderId="0" xfId="0" applyFont="1" applyBorder="1" applyAlignment="1">
      <alignment horizontal="left" vertical="center" wrapText="1"/>
    </xf>
    <xf numFmtId="0" fontId="1" fillId="0" borderId="0" xfId="0" applyFont="1" applyBorder="1" applyAlignment="1">
      <alignment vertical="top" wrapText="1"/>
    </xf>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4" xfId="0" applyFont="1" applyBorder="1" applyAlignment="1">
      <alignment horizontal="center" vertical="center"/>
    </xf>
    <xf numFmtId="0" fontId="3" fillId="10" borderId="0" xfId="0" applyFont="1" applyFill="1"/>
    <xf numFmtId="0" fontId="3" fillId="12" borderId="0" xfId="0" applyFont="1" applyFill="1" applyAlignment="1">
      <alignment vertical="center" wrapText="1"/>
    </xf>
    <xf numFmtId="0" fontId="3" fillId="11" borderId="0" xfId="0" applyFont="1" applyFill="1" applyAlignment="1">
      <alignment vertical="center" wrapText="1"/>
    </xf>
    <xf numFmtId="0" fontId="0" fillId="0" borderId="0" xfId="0" applyAlignment="1">
      <alignment vertical="center" wrapText="1"/>
    </xf>
    <xf numFmtId="0" fontId="3" fillId="7" borderId="0" xfId="0" applyFont="1" applyFill="1" applyAlignment="1">
      <alignment vertical="center" wrapText="1"/>
    </xf>
    <xf numFmtId="0" fontId="3" fillId="3" borderId="0" xfId="0" applyFont="1" applyFill="1" applyAlignment="1">
      <alignment vertical="center" wrapText="1"/>
    </xf>
    <xf numFmtId="0" fontId="3" fillId="13" borderId="0" xfId="0" applyFont="1" applyFill="1"/>
    <xf numFmtId="0" fontId="0" fillId="0" borderId="0" xfId="0" applyNumberFormat="1"/>
    <xf numFmtId="0" fontId="6" fillId="0" borderId="0" xfId="0" applyFont="1" applyBorder="1" applyAlignment="1">
      <alignment horizontal="left" vertical="top"/>
    </xf>
    <xf numFmtId="0" fontId="1" fillId="0" borderId="1" xfId="0" applyFont="1" applyBorder="1" applyAlignment="1">
      <alignment horizontal="center" vertical="center"/>
    </xf>
    <xf numFmtId="0" fontId="1" fillId="14" borderId="1"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6" xfId="0" applyFont="1" applyFill="1" applyBorder="1"/>
    <xf numFmtId="0" fontId="1" fillId="2" borderId="1" xfId="0" applyFont="1" applyFill="1" applyBorder="1"/>
    <xf numFmtId="0" fontId="6" fillId="0" borderId="0" xfId="0" applyFont="1" applyAlignment="1">
      <alignment horizontal="center" vertical="center"/>
    </xf>
    <xf numFmtId="0" fontId="6" fillId="18" borderId="1" xfId="0" applyFont="1" applyFill="1" applyBorder="1"/>
    <xf numFmtId="0" fontId="1" fillId="18" borderId="1" xfId="0" applyFont="1" applyFill="1" applyBorder="1"/>
    <xf numFmtId="0" fontId="2" fillId="9" borderId="3" xfId="0" applyFont="1" applyFill="1" applyBorder="1"/>
    <xf numFmtId="0" fontId="2" fillId="9" borderId="4" xfId="0" applyFont="1" applyFill="1" applyBorder="1"/>
    <xf numFmtId="0" fontId="2" fillId="15" borderId="3" xfId="0" applyFont="1" applyFill="1" applyBorder="1"/>
    <xf numFmtId="0" fontId="2" fillId="15" borderId="4" xfId="0" applyFont="1" applyFill="1" applyBorder="1"/>
    <xf numFmtId="0" fontId="2" fillId="16" borderId="3" xfId="0" applyFont="1" applyFill="1" applyBorder="1"/>
    <xf numFmtId="0" fontId="2" fillId="16" borderId="4" xfId="0" applyFont="1" applyFill="1" applyBorder="1"/>
    <xf numFmtId="0" fontId="6" fillId="9" borderId="0" xfId="0" applyFont="1" applyFill="1"/>
    <xf numFmtId="0" fontId="1" fillId="9" borderId="0" xfId="0" applyFont="1" applyFill="1"/>
    <xf numFmtId="0" fontId="13" fillId="15" borderId="4" xfId="0" applyFont="1" applyFill="1" applyBorder="1" applyAlignment="1">
      <alignment horizontal="center" vertical="center"/>
    </xf>
    <xf numFmtId="0" fontId="13" fillId="15" borderId="4" xfId="0" applyFont="1" applyFill="1" applyBorder="1" applyAlignment="1">
      <alignment horizontal="center" vertical="center" wrapText="1"/>
    </xf>
    <xf numFmtId="0" fontId="13" fillId="15" borderId="5" xfId="0" applyFont="1" applyFill="1" applyBorder="1" applyAlignment="1">
      <alignment horizontal="center" vertical="center" wrapText="1"/>
    </xf>
    <xf numFmtId="0" fontId="13" fillId="15" borderId="0" xfId="0" applyFont="1" applyFill="1"/>
    <xf numFmtId="0" fontId="1" fillId="0" borderId="1" xfId="0" applyFont="1" applyBorder="1" applyAlignment="1">
      <alignment wrapText="1"/>
    </xf>
    <xf numFmtId="0" fontId="13" fillId="15" borderId="1" xfId="0" applyFont="1" applyFill="1" applyBorder="1" applyAlignment="1">
      <alignment horizontal="center" vertical="center" wrapText="1"/>
    </xf>
    <xf numFmtId="0" fontId="13" fillId="6" borderId="4" xfId="0" applyFont="1" applyFill="1" applyBorder="1" applyAlignment="1">
      <alignment horizontal="center" vertical="center"/>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xf numFmtId="0" fontId="0" fillId="19" borderId="1" xfId="0" applyFill="1" applyBorder="1" applyAlignment="1">
      <alignment horizontal="center"/>
    </xf>
    <xf numFmtId="0" fontId="0" fillId="15" borderId="1" xfId="0" applyFill="1" applyBorder="1" applyAlignment="1">
      <alignment horizontal="center"/>
    </xf>
    <xf numFmtId="0" fontId="4" fillId="15" borderId="1" xfId="0" applyFont="1" applyFill="1" applyBorder="1"/>
    <xf numFmtId="0" fontId="4" fillId="15" borderId="1" xfId="0" applyFont="1" applyFill="1" applyBorder="1" applyAlignment="1">
      <alignment horizontal="center"/>
    </xf>
    <xf numFmtId="0" fontId="1" fillId="2" borderId="1" xfId="0" applyFont="1" applyFill="1" applyBorder="1" applyAlignment="1">
      <alignment horizontal="center"/>
    </xf>
    <xf numFmtId="0" fontId="2" fillId="6" borderId="1" xfId="0" applyFont="1" applyFill="1" applyBorder="1" applyAlignment="1">
      <alignment horizontal="center" wrapText="1"/>
    </xf>
    <xf numFmtId="0" fontId="2" fillId="6" borderId="1" xfId="0" applyFont="1" applyFill="1" applyBorder="1" applyAlignment="1">
      <alignment horizontal="center"/>
    </xf>
    <xf numFmtId="0" fontId="6" fillId="2" borderId="1" xfId="0" applyFont="1" applyFill="1" applyBorder="1" applyAlignment="1">
      <alignment horizontal="center"/>
    </xf>
    <xf numFmtId="0" fontId="3" fillId="19" borderId="1" xfId="0" applyFont="1" applyFill="1" applyBorder="1" applyAlignment="1">
      <alignment horizontal="center"/>
    </xf>
    <xf numFmtId="0" fontId="13" fillId="6" borderId="1" xfId="0" applyFont="1" applyFill="1" applyBorder="1" applyAlignment="1">
      <alignment wrapText="1"/>
    </xf>
    <xf numFmtId="0" fontId="12" fillId="15" borderId="1" xfId="0" applyFont="1" applyFill="1" applyBorder="1"/>
    <xf numFmtId="0" fontId="4" fillId="16" borderId="1" xfId="0" applyFont="1" applyFill="1" applyBorder="1"/>
    <xf numFmtId="0" fontId="4" fillId="16" borderId="1" xfId="0" applyFont="1" applyFill="1" applyBorder="1" applyAlignment="1">
      <alignment horizontal="center"/>
    </xf>
    <xf numFmtId="49" fontId="4" fillId="16" borderId="1" xfId="0" applyNumberFormat="1" applyFont="1" applyFill="1" applyBorder="1" applyAlignment="1">
      <alignment horizontal="center"/>
    </xf>
    <xf numFmtId="0" fontId="0" fillId="17" borderId="1" xfId="0" applyFill="1" applyBorder="1" applyAlignment="1">
      <alignment horizontal="center"/>
    </xf>
    <xf numFmtId="0" fontId="12" fillId="16" borderId="1" xfId="0" applyFont="1" applyFill="1" applyBorder="1"/>
    <xf numFmtId="0" fontId="3" fillId="17" borderId="1" xfId="0" applyFont="1" applyFill="1" applyBorder="1" applyAlignment="1">
      <alignment horizontal="center"/>
    </xf>
    <xf numFmtId="0" fontId="1" fillId="20" borderId="1" xfId="0" applyFont="1" applyFill="1" applyBorder="1"/>
    <xf numFmtId="0" fontId="1" fillId="19" borderId="1" xfId="0" applyFont="1" applyFill="1" applyBorder="1"/>
    <xf numFmtId="0" fontId="2" fillId="14" borderId="1" xfId="0" applyFont="1" applyFill="1" applyBorder="1" applyAlignment="1">
      <alignment horizontal="center"/>
    </xf>
    <xf numFmtId="0" fontId="2" fillId="14" borderId="1" xfId="0" applyFont="1" applyFill="1" applyBorder="1"/>
    <xf numFmtId="0" fontId="6" fillId="0" borderId="13" xfId="0" applyFont="1" applyBorder="1"/>
    <xf numFmtId="0" fontId="6" fillId="0" borderId="1" xfId="0" applyFont="1" applyBorder="1" applyAlignment="1">
      <alignment horizontal="center"/>
    </xf>
    <xf numFmtId="0" fontId="1" fillId="0" borderId="4" xfId="0" applyFont="1" applyBorder="1" applyAlignment="1">
      <alignment horizontal="left" wrapText="1"/>
    </xf>
    <xf numFmtId="0" fontId="3" fillId="9" borderId="1" xfId="0" applyFont="1" applyFill="1" applyBorder="1"/>
    <xf numFmtId="0" fontId="3" fillId="20" borderId="1" xfId="0" applyFont="1" applyFill="1" applyBorder="1" applyAlignment="1">
      <alignment horizontal="center"/>
    </xf>
    <xf numFmtId="0" fontId="6" fillId="14" borderId="0" xfId="0" applyFont="1" applyFill="1"/>
    <xf numFmtId="0" fontId="6" fillId="2" borderId="0" xfId="0" applyFont="1" applyFill="1"/>
    <xf numFmtId="0" fontId="13" fillId="6" borderId="0" xfId="0" applyFont="1" applyFill="1"/>
    <xf numFmtId="0" fontId="4" fillId="6" borderId="1" xfId="0" applyFont="1" applyFill="1" applyBorder="1"/>
    <xf numFmtId="0" fontId="0" fillId="6" borderId="1" xfId="0" applyFill="1" applyBorder="1" applyAlignment="1">
      <alignment horizontal="center"/>
    </xf>
    <xf numFmtId="0" fontId="0" fillId="2" borderId="1" xfId="0" applyFill="1" applyBorder="1" applyAlignment="1">
      <alignment horizontal="center"/>
    </xf>
    <xf numFmtId="0" fontId="0" fillId="9" borderId="1" xfId="0" applyFont="1" applyFill="1" applyBorder="1"/>
    <xf numFmtId="0" fontId="0" fillId="9" borderId="1" xfId="0" applyFont="1" applyFill="1" applyBorder="1" applyAlignment="1">
      <alignment horizontal="center"/>
    </xf>
    <xf numFmtId="49" fontId="0" fillId="9" borderId="1" xfId="0" applyNumberFormat="1" applyFont="1" applyFill="1" applyBorder="1" applyAlignment="1">
      <alignment horizontal="center"/>
    </xf>
    <xf numFmtId="0" fontId="0" fillId="20" borderId="1" xfId="0" applyFont="1" applyFill="1" applyBorder="1" applyAlignment="1">
      <alignment horizontal="center"/>
    </xf>
    <xf numFmtId="0" fontId="13" fillId="6" borderId="0" xfId="0" applyFont="1" applyFill="1" applyBorder="1"/>
    <xf numFmtId="0" fontId="13" fillId="6" borderId="0" xfId="0" applyFont="1" applyFill="1" applyBorder="1" applyAlignment="1">
      <alignment horizontal="center"/>
    </xf>
    <xf numFmtId="0" fontId="13" fillId="6" borderId="0" xfId="0" applyFont="1" applyFill="1" applyBorder="1" applyAlignment="1">
      <alignment horizontal="center" vertical="center"/>
    </xf>
    <xf numFmtId="0" fontId="13" fillId="15" borderId="0" xfId="0" applyFont="1" applyFill="1" applyAlignment="1">
      <alignment horizontal="center" vertical="center"/>
    </xf>
    <xf numFmtId="0" fontId="6" fillId="2" borderId="1" xfId="0" applyFont="1" applyFill="1" applyBorder="1"/>
    <xf numFmtId="0" fontId="6" fillId="19" borderId="1" xfId="0" applyFont="1" applyFill="1" applyBorder="1"/>
    <xf numFmtId="0" fontId="13" fillId="6" borderId="0" xfId="0" applyFont="1" applyFill="1" applyAlignment="1">
      <alignment horizontal="center" vertical="center"/>
    </xf>
    <xf numFmtId="0" fontId="6" fillId="0" borderId="0" xfId="0" applyFont="1" applyBorder="1" applyAlignment="1">
      <alignment horizontal="center" vertical="center" wrapText="1"/>
    </xf>
    <xf numFmtId="0" fontId="2" fillId="6" borderId="3" xfId="0" applyNumberFormat="1" applyFont="1" applyFill="1" applyBorder="1"/>
    <xf numFmtId="0" fontId="13" fillId="6" borderId="13" xfId="0" applyFont="1" applyFill="1" applyBorder="1" applyAlignment="1">
      <alignment horizontal="center" vertical="center"/>
    </xf>
    <xf numFmtId="0" fontId="13" fillId="6" borderId="13" xfId="0" applyFont="1" applyFill="1" applyBorder="1" applyAlignment="1">
      <alignment horizontal="center" vertical="center" wrapText="1"/>
    </xf>
    <xf numFmtId="0" fontId="1" fillId="0" borderId="10" xfId="0" applyFont="1" applyBorder="1"/>
    <xf numFmtId="0" fontId="1" fillId="0" borderId="11" xfId="0" applyFont="1" applyBorder="1" applyAlignment="1">
      <alignment wrapText="1"/>
    </xf>
    <xf numFmtId="0" fontId="1" fillId="0" borderId="11" xfId="0" applyFont="1" applyBorder="1"/>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8" fillId="0" borderId="0" xfId="0" applyFont="1" applyBorder="1"/>
    <xf numFmtId="0" fontId="1" fillId="0" borderId="0" xfId="0" applyFont="1" applyBorder="1" applyAlignment="1">
      <alignment horizontal="left" vertical="top" wrapText="1"/>
    </xf>
    <xf numFmtId="0" fontId="6" fillId="9" borderId="0" xfId="0" applyFont="1" applyFill="1" applyAlignment="1">
      <alignment horizontal="center" vertical="center"/>
    </xf>
    <xf numFmtId="0" fontId="1" fillId="9" borderId="3" xfId="0" applyFont="1" applyFill="1" applyBorder="1"/>
    <xf numFmtId="0" fontId="1" fillId="9" borderId="4" xfId="0" applyFont="1" applyFill="1" applyBorder="1"/>
    <xf numFmtId="0" fontId="6" fillId="9" borderId="13" xfId="0" applyFont="1" applyFill="1" applyBorder="1" applyAlignment="1">
      <alignment horizontal="center" vertical="center"/>
    </xf>
    <xf numFmtId="0" fontId="6" fillId="9" borderId="13" xfId="0" applyFont="1" applyFill="1" applyBorder="1" applyAlignment="1">
      <alignment horizontal="center" vertical="center" wrapText="1"/>
    </xf>
    <xf numFmtId="0" fontId="6" fillId="9" borderId="1" xfId="0" applyFont="1" applyFill="1" applyBorder="1" applyAlignment="1">
      <alignment horizontal="center" vertical="center"/>
    </xf>
    <xf numFmtId="0" fontId="1" fillId="0" borderId="4" xfId="0" applyFont="1" applyBorder="1" applyAlignment="1">
      <alignment horizontal="left" vertical="center" wrapText="1"/>
    </xf>
    <xf numFmtId="0" fontId="8" fillId="0" borderId="0" xfId="0" applyFont="1" applyBorder="1" applyAlignment="1">
      <alignment horizontal="right" wrapText="1"/>
    </xf>
    <xf numFmtId="2" fontId="2" fillId="9" borderId="3" xfId="0" applyNumberFormat="1" applyFont="1" applyFill="1" applyBorder="1"/>
    <xf numFmtId="0" fontId="1" fillId="0" borderId="0" xfId="0" applyFont="1" applyFill="1" applyBorder="1" applyAlignment="1">
      <alignment horizontal="left" vertical="center" wrapText="1"/>
    </xf>
    <xf numFmtId="0" fontId="6" fillId="20" borderId="1" xfId="0" applyFont="1" applyFill="1" applyBorder="1"/>
    <xf numFmtId="0" fontId="1" fillId="20" borderId="1" xfId="0" applyFont="1" applyFill="1" applyBorder="1" applyAlignment="1">
      <alignment horizontal="center" vertical="center"/>
    </xf>
    <xf numFmtId="0" fontId="6" fillId="3" borderId="1" xfId="0" applyFont="1" applyFill="1" applyBorder="1" applyAlignment="1">
      <alignment horizontal="center"/>
    </xf>
    <xf numFmtId="0" fontId="12" fillId="6" borderId="1" xfId="0" applyFont="1" applyFill="1" applyBorder="1"/>
    <xf numFmtId="0" fontId="13" fillId="16" borderId="0" xfId="0" applyFont="1" applyFill="1"/>
    <xf numFmtId="0" fontId="2" fillId="16" borderId="0" xfId="0" applyFont="1" applyFill="1"/>
    <xf numFmtId="0" fontId="13" fillId="16" borderId="0" xfId="0" applyFont="1" applyFill="1" applyAlignment="1">
      <alignment horizontal="center" vertical="center"/>
    </xf>
    <xf numFmtId="0" fontId="13" fillId="16" borderId="10" xfId="0" applyFont="1" applyFill="1" applyBorder="1" applyAlignment="1">
      <alignment horizontal="center" vertical="center"/>
    </xf>
    <xf numFmtId="0" fontId="13" fillId="16" borderId="11" xfId="0" applyFont="1" applyFill="1" applyBorder="1" applyAlignment="1">
      <alignment horizontal="center" vertical="center" wrapText="1"/>
    </xf>
    <xf numFmtId="0" fontId="13" fillId="16" borderId="12" xfId="0" applyFont="1" applyFill="1" applyBorder="1" applyAlignment="1">
      <alignment horizontal="center" vertical="center" wrapText="1"/>
    </xf>
    <xf numFmtId="0" fontId="13" fillId="16" borderId="1" xfId="0" applyFont="1" applyFill="1" applyBorder="1" applyAlignment="1">
      <alignment horizontal="center" vertical="center"/>
    </xf>
    <xf numFmtId="0" fontId="1" fillId="0" borderId="2" xfId="0" applyFont="1" applyBorder="1" applyAlignment="1">
      <alignment horizontal="left" wrapText="1"/>
    </xf>
    <xf numFmtId="2" fontId="2" fillId="16" borderId="3" xfId="0" applyNumberFormat="1" applyFont="1" applyFill="1" applyBorder="1"/>
    <xf numFmtId="0" fontId="1" fillId="0" borderId="6" xfId="0" applyFont="1" applyBorder="1" applyAlignment="1">
      <alignment wrapText="1"/>
    </xf>
    <xf numFmtId="0" fontId="1" fillId="0" borderId="8" xfId="0" applyFont="1" applyBorder="1" applyAlignment="1">
      <alignment horizontal="right" wrapText="1"/>
    </xf>
    <xf numFmtId="0" fontId="1" fillId="8" borderId="1" xfId="0" applyFont="1" applyFill="1" applyBorder="1" applyAlignment="1" applyProtection="1">
      <alignment horizontal="center" vertical="center"/>
      <protection locked="0"/>
    </xf>
    <xf numFmtId="0" fontId="1" fillId="0" borderId="6" xfId="0" applyFont="1" applyBorder="1" applyProtection="1">
      <protection locked="0"/>
    </xf>
    <xf numFmtId="0" fontId="1" fillId="0" borderId="8" xfId="0" applyFont="1" applyBorder="1" applyProtection="1">
      <protection locked="0"/>
    </xf>
    <xf numFmtId="0" fontId="0" fillId="0" borderId="0" xfId="0" applyProtection="1">
      <protection locked="0"/>
    </xf>
    <xf numFmtId="0" fontId="0" fillId="0" borderId="0" xfId="0" applyAlignment="1" applyProtection="1">
      <alignment horizontal="center" vertical="center"/>
      <protection locked="0"/>
    </xf>
    <xf numFmtId="0" fontId="0" fillId="0" borderId="1" xfId="0" applyBorder="1" applyProtection="1">
      <protection locked="0"/>
    </xf>
    <xf numFmtId="0" fontId="0" fillId="0" borderId="0" xfId="0" applyAlignment="1" applyProtection="1">
      <alignment horizontal="center" vertical="top"/>
      <protection locked="0"/>
    </xf>
    <xf numFmtId="0" fontId="1" fillId="8" borderId="1" xfId="0" applyFont="1" applyFill="1" applyBorder="1" applyAlignment="1" applyProtection="1">
      <alignment horizontal="center"/>
      <protection locked="0"/>
    </xf>
    <xf numFmtId="0" fontId="0" fillId="0" borderId="0" xfId="0" applyProtection="1"/>
    <xf numFmtId="0" fontId="3" fillId="2" borderId="1" xfId="0" applyFont="1" applyFill="1" applyBorder="1" applyAlignment="1">
      <alignment horizontal="center"/>
    </xf>
    <xf numFmtId="0" fontId="1" fillId="0" borderId="0" xfId="0" applyFont="1" applyBorder="1" applyAlignment="1" applyProtection="1">
      <alignment horizontal="right"/>
      <protection locked="0"/>
    </xf>
    <xf numFmtId="164" fontId="1" fillId="8" borderId="1" xfId="0" applyNumberFormat="1" applyFont="1" applyFill="1" applyBorder="1" applyAlignment="1" applyProtection="1">
      <alignment horizontal="center"/>
      <protection locked="0"/>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4" xfId="0" applyFont="1" applyBorder="1" applyAlignment="1">
      <alignment horizontal="center" vertical="center"/>
    </xf>
    <xf numFmtId="0" fontId="2" fillId="6" borderId="6" xfId="0" applyFont="1" applyFill="1" applyBorder="1"/>
    <xf numFmtId="0" fontId="2" fillId="6" borderId="0" xfId="0" applyFont="1" applyFill="1" applyBorder="1" applyAlignment="1">
      <alignment wrapText="1"/>
    </xf>
    <xf numFmtId="0" fontId="1" fillId="0" borderId="0" xfId="0" applyFont="1" applyBorder="1" applyAlignment="1" applyProtection="1">
      <alignment vertical="top"/>
      <protection locked="0"/>
    </xf>
    <xf numFmtId="165" fontId="1" fillId="0" borderId="1" xfId="0" applyNumberFormat="1" applyFont="1" applyFill="1" applyBorder="1" applyAlignment="1" applyProtection="1">
      <alignment horizontal="center"/>
    </xf>
    <xf numFmtId="0" fontId="1" fillId="0" borderId="6" xfId="0" applyFont="1" applyBorder="1" applyAlignment="1">
      <alignment horizontal="center" vertical="center"/>
    </xf>
    <xf numFmtId="0" fontId="1" fillId="0" borderId="0" xfId="0" applyFont="1" applyFill="1" applyBorder="1" applyAlignment="1">
      <alignment horizontal="center" vertical="center"/>
    </xf>
    <xf numFmtId="0" fontId="1" fillId="8" borderId="13" xfId="0" applyFont="1" applyFill="1" applyBorder="1" applyAlignment="1" applyProtection="1">
      <alignment horizontal="center" vertical="center"/>
      <protection locked="0"/>
    </xf>
    <xf numFmtId="0" fontId="1" fillId="0" borderId="0" xfId="0" applyFont="1" applyBorder="1" applyAlignment="1">
      <alignment horizontal="right" vertical="top" wrapText="1"/>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2" fillId="16" borderId="6" xfId="0" applyFont="1" applyFill="1" applyBorder="1"/>
    <xf numFmtId="0" fontId="2" fillId="16" borderId="0" xfId="0" applyFont="1" applyFill="1" applyBorder="1"/>
    <xf numFmtId="0" fontId="1" fillId="0" borderId="0" xfId="0" applyFont="1" applyBorder="1" applyAlignment="1">
      <alignment horizontal="right" vertical="center" wrapText="1"/>
    </xf>
    <xf numFmtId="2" fontId="6" fillId="0" borderId="1" xfId="0" applyNumberFormat="1" applyFont="1" applyBorder="1" applyAlignment="1">
      <alignment horizontal="center" vertical="center"/>
    </xf>
    <xf numFmtId="0" fontId="1" fillId="0" borderId="0" xfId="0" applyFont="1" applyBorder="1" applyAlignment="1">
      <alignment horizontal="right" vertical="center"/>
    </xf>
    <xf numFmtId="0" fontId="1" fillId="0" borderId="0" xfId="0" applyFont="1" applyBorder="1" applyAlignment="1">
      <alignment horizontal="left" vertical="center"/>
    </xf>
    <xf numFmtId="0" fontId="1" fillId="0" borderId="2" xfId="0" applyFont="1" applyBorder="1" applyAlignment="1">
      <alignment horizontal="right" vertical="center"/>
    </xf>
    <xf numFmtId="0" fontId="1" fillId="0" borderId="0" xfId="0" applyFont="1" applyBorder="1" applyAlignment="1">
      <alignment horizontal="right" vertical="top"/>
    </xf>
    <xf numFmtId="0" fontId="1" fillId="8" borderId="1" xfId="0" applyFont="1" applyFill="1" applyBorder="1" applyAlignment="1" applyProtection="1">
      <alignment horizontal="left"/>
      <protection locked="0"/>
    </xf>
    <xf numFmtId="165" fontId="2" fillId="6" borderId="3" xfId="0" applyNumberFormat="1" applyFont="1" applyFill="1" applyBorder="1"/>
    <xf numFmtId="0" fontId="1" fillId="0" borderId="1" xfId="0" applyFont="1" applyFill="1" applyBorder="1" applyAlignment="1" applyProtection="1">
      <alignment horizontal="center" vertical="center"/>
    </xf>
    <xf numFmtId="2" fontId="1" fillId="0" borderId="1" xfId="0" applyNumberFormat="1" applyFont="1" applyFill="1" applyBorder="1" applyAlignment="1" applyProtection="1">
      <alignment horizontal="center" vertical="center"/>
    </xf>
    <xf numFmtId="2" fontId="1" fillId="0" borderId="1" xfId="1" applyNumberFormat="1" applyFont="1" applyFill="1" applyBorder="1" applyAlignment="1" applyProtection="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right" vertical="center" wrapText="1"/>
    </xf>
    <xf numFmtId="0" fontId="1" fillId="0" borderId="1" xfId="0" applyFont="1" applyBorder="1" applyAlignment="1" applyProtection="1">
      <alignment horizontal="left" vertical="top"/>
      <protection locked="0"/>
    </xf>
    <xf numFmtId="0" fontId="1" fillId="0" borderId="0" xfId="0" applyFont="1" applyBorder="1" applyAlignment="1">
      <alignment horizontal="center" vertical="center"/>
    </xf>
    <xf numFmtId="0" fontId="1" fillId="0" borderId="7" xfId="0" applyFont="1" applyBorder="1" applyAlignment="1">
      <alignment horizontal="center" vertical="center" wrapText="1"/>
    </xf>
    <xf numFmtId="2" fontId="2" fillId="6" borderId="6" xfId="0" applyNumberFormat="1" applyFont="1" applyFill="1" applyBorder="1"/>
    <xf numFmtId="0" fontId="1" fillId="0" borderId="2" xfId="0" applyFont="1" applyBorder="1" applyAlignment="1">
      <alignment horizontal="right" vertical="center" wrapText="1"/>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6"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6" fillId="19" borderId="1" xfId="0" applyFont="1" applyFill="1" applyBorder="1" applyAlignment="1">
      <alignment horizontal="center" vertical="center"/>
    </xf>
    <xf numFmtId="0" fontId="1" fillId="0" borderId="1" xfId="0" applyFont="1" applyBorder="1" applyAlignment="1" applyProtection="1">
      <alignment horizontal="center"/>
      <protection locked="0"/>
    </xf>
    <xf numFmtId="0" fontId="1" fillId="0" borderId="0" xfId="0" applyFont="1" applyBorder="1" applyAlignment="1">
      <alignment horizontal="center" vertical="center" wrapText="1"/>
    </xf>
    <xf numFmtId="0" fontId="1" fillId="0" borderId="0" xfId="0" applyFont="1" applyBorder="1" applyAlignment="1">
      <alignment horizontal="center" wrapText="1"/>
    </xf>
    <xf numFmtId="0" fontId="1" fillId="0" borderId="2" xfId="0" applyFont="1" applyBorder="1" applyAlignment="1">
      <alignment horizontal="center" wrapText="1"/>
    </xf>
    <xf numFmtId="0" fontId="1" fillId="0" borderId="9" xfId="0" applyFont="1" applyBorder="1" applyAlignment="1">
      <alignment horizontal="center" vertical="center" wrapText="1"/>
    </xf>
    <xf numFmtId="165" fontId="1" fillId="0" borderId="7" xfId="0" applyNumberFormat="1" applyFont="1" applyBorder="1" applyAlignment="1">
      <alignment horizontal="center" vertical="center"/>
    </xf>
    <xf numFmtId="165" fontId="1" fillId="0" borderId="9" xfId="0" applyNumberFormat="1" applyFont="1" applyBorder="1" applyAlignment="1">
      <alignment horizontal="center" vertical="center"/>
    </xf>
    <xf numFmtId="0" fontId="1" fillId="0" borderId="5" xfId="0" applyFont="1" applyBorder="1" applyAlignment="1">
      <alignment horizontal="center" vertical="center" wrapText="1"/>
    </xf>
    <xf numFmtId="0" fontId="1" fillId="0" borderId="0" xfId="0" applyFont="1" applyBorder="1" applyAlignment="1">
      <alignment horizontal="right" vertical="center" wrapText="1"/>
    </xf>
    <xf numFmtId="0" fontId="6" fillId="18" borderId="1" xfId="0" applyFont="1" applyFill="1" applyBorder="1" applyAlignment="1">
      <alignment horizontal="center" vertical="center"/>
    </xf>
    <xf numFmtId="0" fontId="1" fillId="0" borderId="13" xfId="0" applyFont="1" applyBorder="1" applyAlignment="1" applyProtection="1">
      <alignment horizontal="center"/>
      <protection locked="0"/>
    </xf>
    <xf numFmtId="0" fontId="1" fillId="0" borderId="14"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1" xfId="0" applyFont="1" applyBorder="1" applyAlignment="1" applyProtection="1">
      <alignment horizontal="left" vertical="top"/>
      <protection locked="0"/>
    </xf>
    <xf numFmtId="0" fontId="1" fillId="0" borderId="1" xfId="0" applyFont="1" applyBorder="1" applyAlignment="1" applyProtection="1">
      <alignment horizontal="left" vertical="top" wrapText="1"/>
      <protection locked="0"/>
    </xf>
    <xf numFmtId="0" fontId="6" fillId="20" borderId="1" xfId="0" applyFont="1" applyFill="1" applyBorder="1" applyAlignment="1">
      <alignment horizontal="center" vertical="center"/>
    </xf>
    <xf numFmtId="0" fontId="1" fillId="20" borderId="1" xfId="0" applyFont="1" applyFill="1" applyBorder="1" applyAlignment="1">
      <alignment horizontal="center" vertical="center"/>
    </xf>
    <xf numFmtId="0" fontId="1" fillId="0" borderId="2" xfId="0" applyFont="1" applyBorder="1" applyAlignment="1">
      <alignment horizontal="center" vertical="center" wrapText="1"/>
    </xf>
    <xf numFmtId="0" fontId="1" fillId="8" borderId="13" xfId="0" applyFont="1" applyFill="1" applyBorder="1" applyAlignment="1" applyProtection="1">
      <alignment horizontal="left" vertical="top" wrapText="1"/>
      <protection locked="0"/>
    </xf>
    <xf numFmtId="0" fontId="1" fillId="8" borderId="15" xfId="0" applyFont="1" applyFill="1" applyBorder="1" applyAlignment="1" applyProtection="1">
      <alignment horizontal="left" vertical="top" wrapText="1"/>
      <protection locked="0"/>
    </xf>
    <xf numFmtId="0" fontId="1" fillId="0" borderId="5"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8" borderId="0" xfId="0" applyFont="1" applyFill="1" applyBorder="1" applyAlignment="1" applyProtection="1">
      <alignment horizontal="left" vertical="top" wrapText="1"/>
      <protection locked="0"/>
    </xf>
    <xf numFmtId="0" fontId="1" fillId="8" borderId="2" xfId="0" applyFont="1" applyFill="1" applyBorder="1" applyAlignment="1" applyProtection="1">
      <alignment horizontal="left" vertical="top" wrapText="1"/>
      <protection locked="0"/>
    </xf>
    <xf numFmtId="0" fontId="1" fillId="0" borderId="7" xfId="0" applyFont="1" applyBorder="1" applyAlignment="1" applyProtection="1">
      <alignment horizontal="center" vertical="center"/>
    </xf>
    <xf numFmtId="0" fontId="1" fillId="0" borderId="9" xfId="0" applyFont="1" applyBorder="1" applyAlignment="1" applyProtection="1">
      <alignment horizontal="center" vertical="center"/>
    </xf>
    <xf numFmtId="0" fontId="1" fillId="0" borderId="1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15" xfId="0" applyFont="1" applyBorder="1" applyAlignment="1" applyProtection="1">
      <alignment horizontal="left" vertical="top"/>
      <protection locked="0"/>
    </xf>
    <xf numFmtId="0" fontId="1" fillId="8" borderId="1" xfId="0" applyFont="1" applyFill="1" applyBorder="1" applyAlignment="1" applyProtection="1">
      <alignment horizontal="left" vertical="top"/>
      <protection locked="0"/>
    </xf>
    <xf numFmtId="0" fontId="1" fillId="8" borderId="1" xfId="0" applyFont="1" applyFill="1" applyBorder="1" applyAlignment="1" applyProtection="1">
      <alignment horizontal="left" vertical="top" wrapText="1"/>
      <protection locked="0"/>
    </xf>
    <xf numFmtId="164" fontId="1" fillId="0" borderId="6" xfId="0" applyNumberFormat="1" applyFont="1" applyFill="1" applyBorder="1" applyAlignment="1" applyProtection="1">
      <alignment horizontal="center"/>
      <protection locked="0"/>
    </xf>
  </cellXfs>
  <cellStyles count="2">
    <cellStyle name="Normal" xfId="0" builtinId="0"/>
    <cellStyle name="Percent" xfId="1" builtinId="5"/>
  </cellStyles>
  <dxfs count="36">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patternType="darkGray">
          <bgColor theme="1" tint="0.34998626667073579"/>
        </patternFill>
      </fill>
    </dxf>
    <dxf>
      <fill>
        <patternFill>
          <bgColor rgb="FFFF0000"/>
        </patternFill>
      </fill>
    </dxf>
    <dxf>
      <fill>
        <patternFill>
          <bgColor theme="9"/>
        </patternFill>
      </fill>
    </dxf>
    <dxf>
      <fill>
        <patternFill>
          <bgColor theme="9"/>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theme="9"/>
        </patternFill>
      </fill>
    </dxf>
    <dxf>
      <font>
        <color auto="1"/>
      </font>
      <fill>
        <patternFill>
          <bgColor theme="9"/>
        </patternFill>
      </fill>
    </dxf>
    <dxf>
      <fill>
        <patternFill>
          <bgColor rgb="FFFF0000"/>
        </patternFill>
      </fill>
    </dxf>
    <dxf>
      <fill>
        <patternFill patternType="darkGray">
          <bgColor theme="1" tint="0.34998626667073579"/>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M$9" lockText="1" noThreeD="1"/>
</file>

<file path=xl/ctrlProps/ctrlProp10.xml><?xml version="1.0" encoding="utf-8"?>
<formControlPr xmlns="http://schemas.microsoft.com/office/spreadsheetml/2009/9/main" objectType="CheckBox" fmlaLink="$M$24" lockText="1" noThreeD="1"/>
</file>

<file path=xl/ctrlProps/ctrlProp100.xml><?xml version="1.0" encoding="utf-8"?>
<formControlPr xmlns="http://schemas.microsoft.com/office/spreadsheetml/2009/9/main" objectType="CheckBox" fmlaLink="$M$55" lockText="1" noThreeD="1"/>
</file>

<file path=xl/ctrlProps/ctrlProp101.xml><?xml version="1.0" encoding="utf-8"?>
<formControlPr xmlns="http://schemas.microsoft.com/office/spreadsheetml/2009/9/main" objectType="CheckBox" fmlaLink="$M$59" lockText="1" noThreeD="1"/>
</file>

<file path=xl/ctrlProps/ctrlProp102.xml><?xml version="1.0" encoding="utf-8"?>
<formControlPr xmlns="http://schemas.microsoft.com/office/spreadsheetml/2009/9/main" objectType="CheckBox" fmlaLink="$M$60" lockText="1" noThreeD="1"/>
</file>

<file path=xl/ctrlProps/ctrlProp103.xml><?xml version="1.0" encoding="utf-8"?>
<formControlPr xmlns="http://schemas.microsoft.com/office/spreadsheetml/2009/9/main" objectType="CheckBox" fmlaLink="$M$61" lockText="1" noThreeD="1"/>
</file>

<file path=xl/ctrlProps/ctrlProp104.xml><?xml version="1.0" encoding="utf-8"?>
<formControlPr xmlns="http://schemas.microsoft.com/office/spreadsheetml/2009/9/main" objectType="CheckBox" fmlaLink="$M$62" lockText="1" noThreeD="1"/>
</file>

<file path=xl/ctrlProps/ctrlProp105.xml><?xml version="1.0" encoding="utf-8"?>
<formControlPr xmlns="http://schemas.microsoft.com/office/spreadsheetml/2009/9/main" objectType="CheckBox" fmlaLink="$M$63" lockText="1" noThreeD="1"/>
</file>

<file path=xl/ctrlProps/ctrlProp106.xml><?xml version="1.0" encoding="utf-8"?>
<formControlPr xmlns="http://schemas.microsoft.com/office/spreadsheetml/2009/9/main" objectType="CheckBox" fmlaLink="$M$64" lockText="1" noThreeD="1"/>
</file>

<file path=xl/ctrlProps/ctrlProp107.xml><?xml version="1.0" encoding="utf-8"?>
<formControlPr xmlns="http://schemas.microsoft.com/office/spreadsheetml/2009/9/main" objectType="CheckBox" fmlaLink="$M$65" lockText="1" noThreeD="1"/>
</file>

<file path=xl/ctrlProps/ctrlProp108.xml><?xml version="1.0" encoding="utf-8"?>
<formControlPr xmlns="http://schemas.microsoft.com/office/spreadsheetml/2009/9/main" objectType="CheckBox" fmlaLink="$M$68" lockText="1" noThreeD="1"/>
</file>

<file path=xl/ctrlProps/ctrlProp109.xml><?xml version="1.0" encoding="utf-8"?>
<formControlPr xmlns="http://schemas.microsoft.com/office/spreadsheetml/2009/9/main" objectType="CheckBox" fmlaLink="$M$69" lockText="1" noThreeD="1"/>
</file>

<file path=xl/ctrlProps/ctrlProp11.xml><?xml version="1.0" encoding="utf-8"?>
<formControlPr xmlns="http://schemas.microsoft.com/office/spreadsheetml/2009/9/main" objectType="CheckBox" fmlaLink="$M$25" lockText="1" noThreeD="1"/>
</file>

<file path=xl/ctrlProps/ctrlProp110.xml><?xml version="1.0" encoding="utf-8"?>
<formControlPr xmlns="http://schemas.microsoft.com/office/spreadsheetml/2009/9/main" objectType="CheckBox" fmlaLink="$M$70" lockText="1" noThreeD="1"/>
</file>

<file path=xl/ctrlProps/ctrlProp111.xml><?xml version="1.0" encoding="utf-8"?>
<formControlPr xmlns="http://schemas.microsoft.com/office/spreadsheetml/2009/9/main" objectType="CheckBox" fmlaLink="$M$72" lockText="1" noThreeD="1"/>
</file>

<file path=xl/ctrlProps/ctrlProp112.xml><?xml version="1.0" encoding="utf-8"?>
<formControlPr xmlns="http://schemas.microsoft.com/office/spreadsheetml/2009/9/main" objectType="CheckBox" fmlaLink="$M$74" lockText="1" noThreeD="1"/>
</file>

<file path=xl/ctrlProps/ctrlProp113.xml><?xml version="1.0" encoding="utf-8"?>
<formControlPr xmlns="http://schemas.microsoft.com/office/spreadsheetml/2009/9/main" objectType="CheckBox" fmlaLink="$M$78" lockText="1" noThreeD="1"/>
</file>

<file path=xl/ctrlProps/ctrlProp114.xml><?xml version="1.0" encoding="utf-8"?>
<formControlPr xmlns="http://schemas.microsoft.com/office/spreadsheetml/2009/9/main" objectType="CheckBox" fmlaLink="$M$79" lockText="1" noThreeD="1"/>
</file>

<file path=xl/ctrlProps/ctrlProp115.xml><?xml version="1.0" encoding="utf-8"?>
<formControlPr xmlns="http://schemas.microsoft.com/office/spreadsheetml/2009/9/main" objectType="CheckBox" fmlaLink="$M$80" lockText="1" noThreeD="1"/>
</file>

<file path=xl/ctrlProps/ctrlProp116.xml><?xml version="1.0" encoding="utf-8"?>
<formControlPr xmlns="http://schemas.microsoft.com/office/spreadsheetml/2009/9/main" objectType="CheckBox" fmlaLink="$M$81" lockText="1" noThreeD="1"/>
</file>

<file path=xl/ctrlProps/ctrlProp117.xml><?xml version="1.0" encoding="utf-8"?>
<formControlPr xmlns="http://schemas.microsoft.com/office/spreadsheetml/2009/9/main" objectType="CheckBox" fmlaLink="$M$82" lockText="1" noThreeD="1"/>
</file>

<file path=xl/ctrlProps/ctrlProp118.xml><?xml version="1.0" encoding="utf-8"?>
<formControlPr xmlns="http://schemas.microsoft.com/office/spreadsheetml/2009/9/main" objectType="CheckBox" fmlaLink="$M$4" lockText="1" noThreeD="1"/>
</file>

<file path=xl/ctrlProps/ctrlProp119.xml><?xml version="1.0" encoding="utf-8"?>
<formControlPr xmlns="http://schemas.microsoft.com/office/spreadsheetml/2009/9/main" objectType="CheckBox" fmlaLink="$M$5" lockText="1" noThreeD="1"/>
</file>

<file path=xl/ctrlProps/ctrlProp12.xml><?xml version="1.0" encoding="utf-8"?>
<formControlPr xmlns="http://schemas.microsoft.com/office/spreadsheetml/2009/9/main" objectType="CheckBox" fmlaLink="$M$27" lockText="1" noThreeD="1"/>
</file>

<file path=xl/ctrlProps/ctrlProp120.xml><?xml version="1.0" encoding="utf-8"?>
<formControlPr xmlns="http://schemas.microsoft.com/office/spreadsheetml/2009/9/main" objectType="CheckBox" fmlaLink="$M$6" lockText="1" noThreeD="1"/>
</file>

<file path=xl/ctrlProps/ctrlProp121.xml><?xml version="1.0" encoding="utf-8"?>
<formControlPr xmlns="http://schemas.microsoft.com/office/spreadsheetml/2009/9/main" objectType="List" dx="22" fmlaLink="$P$88" fmlaRange="$Q$77:$Q$82" noThreeD="1" sel="2" val="0"/>
</file>

<file path=xl/ctrlProps/ctrlProp122.xml><?xml version="1.0" encoding="utf-8"?>
<formControlPr xmlns="http://schemas.microsoft.com/office/spreadsheetml/2009/9/main" objectType="List" dx="22" fmlaLink="$P$90" fmlaRange="$Q$77:$Q$82" noThreeD="1" sel="1" val="0"/>
</file>

<file path=xl/ctrlProps/ctrlProp123.xml><?xml version="1.0" encoding="utf-8"?>
<formControlPr xmlns="http://schemas.microsoft.com/office/spreadsheetml/2009/9/main" objectType="List" dx="22" fmlaLink="$P$92" fmlaRange="$Q$77:$Q$82" noThreeD="1" sel="1" val="0"/>
</file>

<file path=xl/ctrlProps/ctrlProp124.xml><?xml version="1.0" encoding="utf-8"?>
<formControlPr xmlns="http://schemas.microsoft.com/office/spreadsheetml/2009/9/main" objectType="List" dx="22" fmlaLink="$P$94" fmlaRange="$Q$77:$Q$82" noThreeD="1" sel="4" val="0"/>
</file>

<file path=xl/ctrlProps/ctrlProp125.xml><?xml version="1.0" encoding="utf-8"?>
<formControlPr xmlns="http://schemas.microsoft.com/office/spreadsheetml/2009/9/main" objectType="List" dx="22" fmlaLink="$P$97" fmlaRange="$T$77:$T$81" noThreeD="1" sel="2" val="0"/>
</file>

<file path=xl/ctrlProps/ctrlProp126.xml><?xml version="1.0" encoding="utf-8"?>
<formControlPr xmlns="http://schemas.microsoft.com/office/spreadsheetml/2009/9/main" objectType="List" dx="22" fmlaLink="$P$99" fmlaRange="$T$77:$T$81" noThreeD="1" sel="1" val="0"/>
</file>

<file path=xl/ctrlProps/ctrlProp127.xml><?xml version="1.0" encoding="utf-8"?>
<formControlPr xmlns="http://schemas.microsoft.com/office/spreadsheetml/2009/9/main" objectType="List" dx="22" fmlaLink="$P$101" fmlaRange="$T$77:$T$81" noThreeD="1" sel="1" val="0"/>
</file>

<file path=xl/ctrlProps/ctrlProp128.xml><?xml version="1.0" encoding="utf-8"?>
<formControlPr xmlns="http://schemas.microsoft.com/office/spreadsheetml/2009/9/main" objectType="CheckBox" fmlaLink="$M$15" lockText="1" noThreeD="1"/>
</file>

<file path=xl/ctrlProps/ctrlProp129.xml><?xml version="1.0" encoding="utf-8"?>
<formControlPr xmlns="http://schemas.microsoft.com/office/spreadsheetml/2009/9/main" objectType="CheckBox" fmlaLink="$M$16" lockText="1" noThreeD="1"/>
</file>

<file path=xl/ctrlProps/ctrlProp13.xml><?xml version="1.0" encoding="utf-8"?>
<formControlPr xmlns="http://schemas.microsoft.com/office/spreadsheetml/2009/9/main" objectType="CheckBox" fmlaLink="$M$29" lockText="1" noThreeD="1"/>
</file>

<file path=xl/ctrlProps/ctrlProp130.xml><?xml version="1.0" encoding="utf-8"?>
<formControlPr xmlns="http://schemas.microsoft.com/office/spreadsheetml/2009/9/main" objectType="CheckBox" fmlaLink="$M$19" lockText="1" noThreeD="1"/>
</file>

<file path=xl/ctrlProps/ctrlProp131.xml><?xml version="1.0" encoding="utf-8"?>
<formControlPr xmlns="http://schemas.microsoft.com/office/spreadsheetml/2009/9/main" objectType="CheckBox" fmlaLink="$M$22" lockText="1" noThreeD="1"/>
</file>

<file path=xl/ctrlProps/ctrlProp132.xml><?xml version="1.0" encoding="utf-8"?>
<formControlPr xmlns="http://schemas.microsoft.com/office/spreadsheetml/2009/9/main" objectType="CheckBox" fmlaLink="$M$25" lockText="1" noThreeD="1"/>
</file>

<file path=xl/ctrlProps/ctrlProp133.xml><?xml version="1.0" encoding="utf-8"?>
<formControlPr xmlns="http://schemas.microsoft.com/office/spreadsheetml/2009/9/main" objectType="CheckBox" fmlaLink="$M$26" lockText="1" noThreeD="1"/>
</file>

<file path=xl/ctrlProps/ctrlProp134.xml><?xml version="1.0" encoding="utf-8"?>
<formControlPr xmlns="http://schemas.microsoft.com/office/spreadsheetml/2009/9/main" objectType="CheckBox" fmlaLink="$M$5" lockText="1" noThreeD="1"/>
</file>

<file path=xl/ctrlProps/ctrlProp135.xml><?xml version="1.0" encoding="utf-8"?>
<formControlPr xmlns="http://schemas.microsoft.com/office/spreadsheetml/2009/9/main" objectType="CheckBox" fmlaLink="$M$33" lockText="1" noThreeD="1"/>
</file>

<file path=xl/ctrlProps/ctrlProp136.xml><?xml version="1.0" encoding="utf-8"?>
<formControlPr xmlns="http://schemas.microsoft.com/office/spreadsheetml/2009/9/main" objectType="CheckBox" fmlaLink="$M$35" lockText="1" noThreeD="1"/>
</file>

<file path=xl/ctrlProps/ctrlProp137.xml><?xml version="1.0" encoding="utf-8"?>
<formControlPr xmlns="http://schemas.microsoft.com/office/spreadsheetml/2009/9/main" objectType="CheckBox" fmlaLink="$M$36" lockText="1" noThreeD="1"/>
</file>

<file path=xl/ctrlProps/ctrlProp138.xml><?xml version="1.0" encoding="utf-8"?>
<formControlPr xmlns="http://schemas.microsoft.com/office/spreadsheetml/2009/9/main" objectType="CheckBox" fmlaLink="$M$37" lockText="1" noThreeD="1"/>
</file>

<file path=xl/ctrlProps/ctrlProp139.xml><?xml version="1.0" encoding="utf-8"?>
<formControlPr xmlns="http://schemas.microsoft.com/office/spreadsheetml/2009/9/main" objectType="CheckBox" fmlaLink="$M$39" lockText="1" noThreeD="1"/>
</file>

<file path=xl/ctrlProps/ctrlProp14.xml><?xml version="1.0" encoding="utf-8"?>
<formControlPr xmlns="http://schemas.microsoft.com/office/spreadsheetml/2009/9/main" objectType="CheckBox" fmlaLink="$M$50" lockText="1" noThreeD="1"/>
</file>

<file path=xl/ctrlProps/ctrlProp140.xml><?xml version="1.0" encoding="utf-8"?>
<formControlPr xmlns="http://schemas.microsoft.com/office/spreadsheetml/2009/9/main" objectType="CheckBox" fmlaLink="$M$40" lockText="1" noThreeD="1"/>
</file>

<file path=xl/ctrlProps/ctrlProp141.xml><?xml version="1.0" encoding="utf-8"?>
<formControlPr xmlns="http://schemas.microsoft.com/office/spreadsheetml/2009/9/main" objectType="CheckBox" fmlaLink="$M$42" lockText="1" noThreeD="1"/>
</file>

<file path=xl/ctrlProps/ctrlProp142.xml><?xml version="1.0" encoding="utf-8"?>
<formControlPr xmlns="http://schemas.microsoft.com/office/spreadsheetml/2009/9/main" objectType="CheckBox" fmlaLink="$M$43" lockText="1" noThreeD="1"/>
</file>

<file path=xl/ctrlProps/ctrlProp143.xml><?xml version="1.0" encoding="utf-8"?>
<formControlPr xmlns="http://schemas.microsoft.com/office/spreadsheetml/2009/9/main" objectType="CheckBox" fmlaLink="$M$46" lockText="1" noThreeD="1"/>
</file>

<file path=xl/ctrlProps/ctrlProp144.xml><?xml version="1.0" encoding="utf-8"?>
<formControlPr xmlns="http://schemas.microsoft.com/office/spreadsheetml/2009/9/main" objectType="CheckBox" fmlaLink="$M$47" lockText="1" noThreeD="1"/>
</file>

<file path=xl/ctrlProps/ctrlProp145.xml><?xml version="1.0" encoding="utf-8"?>
<formControlPr xmlns="http://schemas.microsoft.com/office/spreadsheetml/2009/9/main" objectType="CheckBox" fmlaLink="$M$48" lockText="1" noThreeD="1"/>
</file>

<file path=xl/ctrlProps/ctrlProp146.xml><?xml version="1.0" encoding="utf-8"?>
<formControlPr xmlns="http://schemas.microsoft.com/office/spreadsheetml/2009/9/main" objectType="CheckBox" fmlaLink="$M$50" lockText="1" noThreeD="1"/>
</file>

<file path=xl/ctrlProps/ctrlProp147.xml><?xml version="1.0" encoding="utf-8"?>
<formControlPr xmlns="http://schemas.microsoft.com/office/spreadsheetml/2009/9/main" objectType="CheckBox" fmlaLink="$M$54" lockText="1" noThreeD="1"/>
</file>

<file path=xl/ctrlProps/ctrlProp148.xml><?xml version="1.0" encoding="utf-8"?>
<formControlPr xmlns="http://schemas.microsoft.com/office/spreadsheetml/2009/9/main" objectType="CheckBox" fmlaLink="$M$55" lockText="1" noThreeD="1"/>
</file>

<file path=xl/ctrlProps/ctrlProp149.xml><?xml version="1.0" encoding="utf-8"?>
<formControlPr xmlns="http://schemas.microsoft.com/office/spreadsheetml/2009/9/main" objectType="CheckBox" fmlaLink="$M$57" lockText="1" noThreeD="1"/>
</file>

<file path=xl/ctrlProps/ctrlProp15.xml><?xml version="1.0" encoding="utf-8"?>
<formControlPr xmlns="http://schemas.microsoft.com/office/spreadsheetml/2009/9/main" objectType="CheckBox" fmlaLink="$M$52" lockText="1" noThreeD="1"/>
</file>

<file path=xl/ctrlProps/ctrlProp150.xml><?xml version="1.0" encoding="utf-8"?>
<formControlPr xmlns="http://schemas.microsoft.com/office/spreadsheetml/2009/9/main" objectType="List" dx="22" fmlaLink="$M$73" fmlaRange="$P$54:$P$57" noThreeD="1" sel="1" val="0"/>
</file>

<file path=xl/ctrlProps/ctrlProp151.xml><?xml version="1.0" encoding="utf-8"?>
<formControlPr xmlns="http://schemas.microsoft.com/office/spreadsheetml/2009/9/main" objectType="List" dx="22" fmlaLink="$M$75" fmlaRange="$P$54:$P$57" noThreeD="1" sel="1" val="0"/>
</file>

<file path=xl/ctrlProps/ctrlProp152.xml><?xml version="1.0" encoding="utf-8"?>
<formControlPr xmlns="http://schemas.microsoft.com/office/spreadsheetml/2009/9/main" objectType="List" dx="22" fmlaLink="$M$83" fmlaRange="$P$54:$P$57" noThreeD="1" sel="4" val="0"/>
</file>

<file path=xl/ctrlProps/ctrlProp153.xml><?xml version="1.0" encoding="utf-8"?>
<formControlPr xmlns="http://schemas.microsoft.com/office/spreadsheetml/2009/9/main" objectType="List" dx="22" fmlaLink="$M$77" fmlaRange="$P$54:$P$57" noThreeD="1" sel="1" val="0"/>
</file>

<file path=xl/ctrlProps/ctrlProp154.xml><?xml version="1.0" encoding="utf-8"?>
<formControlPr xmlns="http://schemas.microsoft.com/office/spreadsheetml/2009/9/main" objectType="List" dx="22" fmlaLink="$M$79" fmlaRange="$P$54:$P$57" noThreeD="1" sel="1" val="0"/>
</file>

<file path=xl/ctrlProps/ctrlProp155.xml><?xml version="1.0" encoding="utf-8"?>
<formControlPr xmlns="http://schemas.microsoft.com/office/spreadsheetml/2009/9/main" objectType="List" dx="22" fmlaLink="$M$81" fmlaRange="$P$54:$P$57" noThreeD="1" sel="1" val="0"/>
</file>

<file path=xl/ctrlProps/ctrlProp156.xml><?xml version="1.0" encoding="utf-8"?>
<formControlPr xmlns="http://schemas.microsoft.com/office/spreadsheetml/2009/9/main" objectType="CheckBox" fmlaLink="$M$60" lockText="1" noThreeD="1"/>
</file>

<file path=xl/ctrlProps/ctrlProp157.xml><?xml version="1.0" encoding="utf-8"?>
<formControlPr xmlns="http://schemas.microsoft.com/office/spreadsheetml/2009/9/main" objectType="List" dx="22" fmlaLink="$M$62" fmlaRange="$P$59:$P$61" noThreeD="1" sel="1" val="0"/>
</file>

<file path=xl/ctrlProps/ctrlProp158.xml><?xml version="1.0" encoding="utf-8"?>
<formControlPr xmlns="http://schemas.microsoft.com/office/spreadsheetml/2009/9/main" objectType="List" dx="22" fmlaLink="$M$64" fmlaRange="$P$59:$P$61" noThreeD="1" sel="1" val="0"/>
</file>

<file path=xl/ctrlProps/ctrlProp159.xml><?xml version="1.0" encoding="utf-8"?>
<formControlPr xmlns="http://schemas.microsoft.com/office/spreadsheetml/2009/9/main" objectType="List" dx="22" fmlaLink="$M$66" fmlaRange="$P$59:$P$61" noThreeD="1" sel="1" val="0"/>
</file>

<file path=xl/ctrlProps/ctrlProp16.xml><?xml version="1.0" encoding="utf-8"?>
<formControlPr xmlns="http://schemas.microsoft.com/office/spreadsheetml/2009/9/main" objectType="CheckBox" fmlaLink="$M$53" lockText="1" noThreeD="1"/>
</file>

<file path=xl/ctrlProps/ctrlProp160.xml><?xml version="1.0" encoding="utf-8"?>
<formControlPr xmlns="http://schemas.microsoft.com/office/spreadsheetml/2009/9/main" objectType="List" dx="22" fmlaLink="$M$68" fmlaRange="$P$59:$P$61" noThreeD="1" sel="1" val="0"/>
</file>

<file path=xl/ctrlProps/ctrlProp17.xml><?xml version="1.0" encoding="utf-8"?>
<formControlPr xmlns="http://schemas.microsoft.com/office/spreadsheetml/2009/9/main" objectType="CheckBox" fmlaLink="$M$54" lockText="1" noThreeD="1"/>
</file>

<file path=xl/ctrlProps/ctrlProp18.xml><?xml version="1.0" encoding="utf-8"?>
<formControlPr xmlns="http://schemas.microsoft.com/office/spreadsheetml/2009/9/main" objectType="CheckBox" fmlaLink="$M$63" lockText="1" noThreeD="1"/>
</file>

<file path=xl/ctrlProps/ctrlProp19.xml><?xml version="1.0" encoding="utf-8"?>
<formControlPr xmlns="http://schemas.microsoft.com/office/spreadsheetml/2009/9/main" objectType="CheckBox" fmlaLink="$M$66" lockText="1" noThreeD="1"/>
</file>

<file path=xl/ctrlProps/ctrlProp2.xml><?xml version="1.0" encoding="utf-8"?>
<formControlPr xmlns="http://schemas.microsoft.com/office/spreadsheetml/2009/9/main" objectType="CheckBox" fmlaLink="$M$10" lockText="1" noThreeD="1"/>
</file>

<file path=xl/ctrlProps/ctrlProp20.xml><?xml version="1.0" encoding="utf-8"?>
<formControlPr xmlns="http://schemas.microsoft.com/office/spreadsheetml/2009/9/main" objectType="CheckBox" fmlaLink="$O$60" lockText="1" noThreeD="1"/>
</file>

<file path=xl/ctrlProps/ctrlProp21.xml><?xml version="1.0" encoding="utf-8"?>
<formControlPr xmlns="http://schemas.microsoft.com/office/spreadsheetml/2009/9/main" objectType="CheckBox" fmlaLink="$O$61" lockText="1" noThreeD="1"/>
</file>

<file path=xl/ctrlProps/ctrlProp22.xml><?xml version="1.0" encoding="utf-8"?>
<formControlPr xmlns="http://schemas.microsoft.com/office/spreadsheetml/2009/9/main" objectType="CheckBox" fmlaLink="$M$70" lockText="1" noThreeD="1"/>
</file>

<file path=xl/ctrlProps/ctrlProp23.xml><?xml version="1.0" encoding="utf-8"?>
<formControlPr xmlns="http://schemas.microsoft.com/office/spreadsheetml/2009/9/main" objectType="CheckBox" fmlaLink="$M$71" lockText="1" noThreeD="1"/>
</file>

<file path=xl/ctrlProps/ctrlProp24.xml><?xml version="1.0" encoding="utf-8"?>
<formControlPr xmlns="http://schemas.microsoft.com/office/spreadsheetml/2009/9/main" objectType="CheckBox" fmlaLink="$M$81" lockText="1" noThreeD="1"/>
</file>

<file path=xl/ctrlProps/ctrlProp25.xml><?xml version="1.0" encoding="utf-8"?>
<formControlPr xmlns="http://schemas.microsoft.com/office/spreadsheetml/2009/9/main" objectType="CheckBox" fmlaLink="$M$84" lockText="1" noThreeD="1"/>
</file>

<file path=xl/ctrlProps/ctrlProp26.xml><?xml version="1.0" encoding="utf-8"?>
<formControlPr xmlns="http://schemas.microsoft.com/office/spreadsheetml/2009/9/main" objectType="CheckBox" fmlaLink="$M$86" lockText="1" noThreeD="1"/>
</file>

<file path=xl/ctrlProps/ctrlProp27.xml><?xml version="1.0" encoding="utf-8"?>
<formControlPr xmlns="http://schemas.microsoft.com/office/spreadsheetml/2009/9/main" objectType="CheckBox" fmlaLink="$M$87" lockText="1" noThreeD="1"/>
</file>

<file path=xl/ctrlProps/ctrlProp28.xml><?xml version="1.0" encoding="utf-8"?>
<formControlPr xmlns="http://schemas.microsoft.com/office/spreadsheetml/2009/9/main" objectType="CheckBox" fmlaLink="$M$91" lockText="1" noThreeD="1"/>
</file>

<file path=xl/ctrlProps/ctrlProp29.xml><?xml version="1.0" encoding="utf-8"?>
<formControlPr xmlns="http://schemas.microsoft.com/office/spreadsheetml/2009/9/main" objectType="CheckBox" fmlaLink="$M$92" lockText="1" noThreeD="1"/>
</file>

<file path=xl/ctrlProps/ctrlProp3.xml><?xml version="1.0" encoding="utf-8"?>
<formControlPr xmlns="http://schemas.microsoft.com/office/spreadsheetml/2009/9/main" objectType="CheckBox" fmlaLink="$M$11" lockText="1" noThreeD="1"/>
</file>

<file path=xl/ctrlProps/ctrlProp30.xml><?xml version="1.0" encoding="utf-8"?>
<formControlPr xmlns="http://schemas.microsoft.com/office/spreadsheetml/2009/9/main" objectType="CheckBox" fmlaLink="$M$96" lockText="1" noThreeD="1"/>
</file>

<file path=xl/ctrlProps/ctrlProp31.xml><?xml version="1.0" encoding="utf-8"?>
<formControlPr xmlns="http://schemas.microsoft.com/office/spreadsheetml/2009/9/main" objectType="CheckBox" fmlaLink="$M$4" lockText="1" noThreeD="1"/>
</file>

<file path=xl/ctrlProps/ctrlProp32.xml><?xml version="1.0" encoding="utf-8"?>
<formControlPr xmlns="http://schemas.microsoft.com/office/spreadsheetml/2009/9/main" objectType="CheckBox" fmlaLink="$M$76" lockText="1" noThreeD="1"/>
</file>

<file path=xl/ctrlProps/ctrlProp33.xml><?xml version="1.0" encoding="utf-8"?>
<formControlPr xmlns="http://schemas.microsoft.com/office/spreadsheetml/2009/9/main" objectType="CheckBox" fmlaLink="$M$49" lockText="1" noThreeD="1"/>
</file>

<file path=xl/ctrlProps/ctrlProp34.xml><?xml version="1.0" encoding="utf-8"?>
<formControlPr xmlns="http://schemas.microsoft.com/office/spreadsheetml/2009/9/main" objectType="CheckBox" fmlaLink="$M$50" lockText="1" noThreeD="1"/>
</file>

<file path=xl/ctrlProps/ctrlProp35.xml><?xml version="1.0" encoding="utf-8"?>
<formControlPr xmlns="http://schemas.microsoft.com/office/spreadsheetml/2009/9/main" objectType="CheckBox" fmlaLink="$M$60" lockText="1" noThreeD="1"/>
</file>

<file path=xl/ctrlProps/ctrlProp36.xml><?xml version="1.0" encoding="utf-8"?>
<formControlPr xmlns="http://schemas.microsoft.com/office/spreadsheetml/2009/9/main" objectType="CheckBox" fmlaLink="$N$60" lockText="1" noThreeD="1"/>
</file>

<file path=xl/ctrlProps/ctrlProp37.xml><?xml version="1.0" encoding="utf-8"?>
<formControlPr xmlns="http://schemas.microsoft.com/office/spreadsheetml/2009/9/main" objectType="Label" lockText="1"/>
</file>

<file path=xl/ctrlProps/ctrlProp38.xml><?xml version="1.0" encoding="utf-8"?>
<formControlPr xmlns="http://schemas.microsoft.com/office/spreadsheetml/2009/9/main" objectType="Label" lockText="1"/>
</file>

<file path=xl/ctrlProps/ctrlProp39.xml><?xml version="1.0" encoding="utf-8"?>
<formControlPr xmlns="http://schemas.microsoft.com/office/spreadsheetml/2009/9/main" objectType="CheckBox" fmlaLink="$M$63" lockText="1" noThreeD="1"/>
</file>

<file path=xl/ctrlProps/ctrlProp4.xml><?xml version="1.0" encoding="utf-8"?>
<formControlPr xmlns="http://schemas.microsoft.com/office/spreadsheetml/2009/9/main" objectType="CheckBox" fmlaLink="$M$14" lockText="1" noThreeD="1"/>
</file>

<file path=xl/ctrlProps/ctrlProp40.xml><?xml version="1.0" encoding="utf-8"?>
<formControlPr xmlns="http://schemas.microsoft.com/office/spreadsheetml/2009/9/main" objectType="CheckBox" fmlaLink="$N$63" lockText="1" noThreeD="1"/>
</file>

<file path=xl/ctrlProps/ctrlProp41.xml><?xml version="1.0" encoding="utf-8"?>
<formControlPr xmlns="http://schemas.microsoft.com/office/spreadsheetml/2009/9/main" objectType="CheckBox" fmlaLink="$M$61" lockText="1" noThreeD="1"/>
</file>

<file path=xl/ctrlProps/ctrlProp42.xml><?xml version="1.0" encoding="utf-8"?>
<formControlPr xmlns="http://schemas.microsoft.com/office/spreadsheetml/2009/9/main" objectType="CheckBox" fmlaLink="$N$61" lockText="1" noThreeD="1"/>
</file>

<file path=xl/ctrlProps/ctrlProp43.xml><?xml version="1.0" encoding="utf-8"?>
<formControlPr xmlns="http://schemas.microsoft.com/office/spreadsheetml/2009/9/main" objectType="CheckBox" fmlaLink="$M$62" lockText="1" noThreeD="1"/>
</file>

<file path=xl/ctrlProps/ctrlProp44.xml><?xml version="1.0" encoding="utf-8"?>
<formControlPr xmlns="http://schemas.microsoft.com/office/spreadsheetml/2009/9/main" objectType="CheckBox" fmlaLink="$N$62" lockText="1" noThreeD="1"/>
</file>

<file path=xl/ctrlProps/ctrlProp45.xml><?xml version="1.0" encoding="utf-8"?>
<formControlPr xmlns="http://schemas.microsoft.com/office/spreadsheetml/2009/9/main" objectType="CheckBox" fmlaLink="$M$64" lockText="1" noThreeD="1"/>
</file>

<file path=xl/ctrlProps/ctrlProp46.xml><?xml version="1.0" encoding="utf-8"?>
<formControlPr xmlns="http://schemas.microsoft.com/office/spreadsheetml/2009/9/main" objectType="CheckBox" fmlaLink="$N$64" lockText="1" noThreeD="1"/>
</file>

<file path=xl/ctrlProps/ctrlProp47.xml><?xml version="1.0" encoding="utf-8"?>
<formControlPr xmlns="http://schemas.microsoft.com/office/spreadsheetml/2009/9/main" objectType="CheckBox" fmlaLink="$M$71" lockText="1" noThreeD="1"/>
</file>

<file path=xl/ctrlProps/ctrlProp48.xml><?xml version="1.0" encoding="utf-8"?>
<formControlPr xmlns="http://schemas.microsoft.com/office/spreadsheetml/2009/9/main" objectType="CheckBox" fmlaLink="$M$74" lockText="1" noThreeD="1"/>
</file>

<file path=xl/ctrlProps/ctrlProp49.xml><?xml version="1.0" encoding="utf-8"?>
<formControlPr xmlns="http://schemas.microsoft.com/office/spreadsheetml/2009/9/main" objectType="CheckBox" fmlaLink="$M$75" lockText="1" noThreeD="1"/>
</file>

<file path=xl/ctrlProps/ctrlProp5.xml><?xml version="1.0" encoding="utf-8"?>
<formControlPr xmlns="http://schemas.microsoft.com/office/spreadsheetml/2009/9/main" objectType="CheckBox" fmlaLink="$M$15" lockText="1" noThreeD="1"/>
</file>

<file path=xl/ctrlProps/ctrlProp50.xml><?xml version="1.0" encoding="utf-8"?>
<formControlPr xmlns="http://schemas.microsoft.com/office/spreadsheetml/2009/9/main" objectType="CheckBox" fmlaLink="$M$76" lockText="1" noThreeD="1"/>
</file>

<file path=xl/ctrlProps/ctrlProp51.xml><?xml version="1.0" encoding="utf-8"?>
<formControlPr xmlns="http://schemas.microsoft.com/office/spreadsheetml/2009/9/main" objectType="List" dx="22" fmlaLink="$M$17" fmlaRange="$Q$12:$Q$16" noThreeD="1" sel="1" val="0"/>
</file>

<file path=xl/ctrlProps/ctrlProp52.xml><?xml version="1.0" encoding="utf-8"?>
<formControlPr xmlns="http://schemas.microsoft.com/office/spreadsheetml/2009/9/main" objectType="List" dx="22" fmlaLink="$M$20" fmlaRange="$Q$12:$Q$15" noThreeD="1" sel="1" val="0"/>
</file>

<file path=xl/ctrlProps/ctrlProp53.xml><?xml version="1.0" encoding="utf-8"?>
<formControlPr xmlns="http://schemas.microsoft.com/office/spreadsheetml/2009/9/main" objectType="CheckBox" fmlaLink="$M$53" lockText="1" noThreeD="1"/>
</file>

<file path=xl/ctrlProps/ctrlProp54.xml><?xml version="1.0" encoding="utf-8"?>
<formControlPr xmlns="http://schemas.microsoft.com/office/spreadsheetml/2009/9/main" objectType="CheckBox" fmlaLink="$M$54" lockText="1" noThreeD="1"/>
</file>

<file path=xl/ctrlProps/ctrlProp55.xml><?xml version="1.0" encoding="utf-8"?>
<formControlPr xmlns="http://schemas.microsoft.com/office/spreadsheetml/2009/9/main" objectType="CheckBox" fmlaLink="$M$37" lockText="1" noThreeD="1"/>
</file>

<file path=xl/ctrlProps/ctrlProp56.xml><?xml version="1.0" encoding="utf-8"?>
<formControlPr xmlns="http://schemas.microsoft.com/office/spreadsheetml/2009/9/main" objectType="CheckBox" fmlaLink="$M$4" lockText="1" noThreeD="1"/>
</file>

<file path=xl/ctrlProps/ctrlProp57.xml><?xml version="1.0" encoding="utf-8"?>
<formControlPr xmlns="http://schemas.microsoft.com/office/spreadsheetml/2009/9/main" objectType="CheckBox" fmlaLink="$M$5" lockText="1" noThreeD="1"/>
</file>

<file path=xl/ctrlProps/ctrlProp58.xml><?xml version="1.0" encoding="utf-8"?>
<formControlPr xmlns="http://schemas.microsoft.com/office/spreadsheetml/2009/9/main" objectType="CheckBox" fmlaLink="$M$6" noThreeD="1"/>
</file>

<file path=xl/ctrlProps/ctrlProp59.xml><?xml version="1.0" encoding="utf-8"?>
<formControlPr xmlns="http://schemas.microsoft.com/office/spreadsheetml/2009/9/main" objectType="CheckBox" fmlaLink="$M$7" lockText="1" noThreeD="1"/>
</file>

<file path=xl/ctrlProps/ctrlProp6.xml><?xml version="1.0" encoding="utf-8"?>
<formControlPr xmlns="http://schemas.microsoft.com/office/spreadsheetml/2009/9/main" objectType="CheckBox" fmlaLink="$M$16" lockText="1" noThreeD="1"/>
</file>

<file path=xl/ctrlProps/ctrlProp60.xml><?xml version="1.0" encoding="utf-8"?>
<formControlPr xmlns="http://schemas.microsoft.com/office/spreadsheetml/2009/9/main" objectType="CheckBox" fmlaLink="$M$55" lockText="1" noThreeD="1"/>
</file>

<file path=xl/ctrlProps/ctrlProp61.xml><?xml version="1.0" encoding="utf-8"?>
<formControlPr xmlns="http://schemas.microsoft.com/office/spreadsheetml/2009/9/main" objectType="CheckBox" fmlaLink="$M$10" lockText="1" noThreeD="1"/>
</file>

<file path=xl/ctrlProps/ctrlProp62.xml><?xml version="1.0" encoding="utf-8"?>
<formControlPr xmlns="http://schemas.microsoft.com/office/spreadsheetml/2009/9/main" objectType="CheckBox" fmlaLink="$M$13" lockText="1" noThreeD="1"/>
</file>

<file path=xl/ctrlProps/ctrlProp63.xml><?xml version="1.0" encoding="utf-8"?>
<formControlPr xmlns="http://schemas.microsoft.com/office/spreadsheetml/2009/9/main" objectType="CheckBox" fmlaLink="$M$14" lockText="1" noThreeD="1"/>
</file>

<file path=xl/ctrlProps/ctrlProp64.xml><?xml version="1.0" encoding="utf-8"?>
<formControlPr xmlns="http://schemas.microsoft.com/office/spreadsheetml/2009/9/main" objectType="CheckBox" fmlaLink="$M$17" lockText="1" noThreeD="1"/>
</file>

<file path=xl/ctrlProps/ctrlProp65.xml><?xml version="1.0" encoding="utf-8"?>
<formControlPr xmlns="http://schemas.microsoft.com/office/spreadsheetml/2009/9/main" objectType="CheckBox" fmlaLink="$M$18" lockText="1" noThreeD="1"/>
</file>

<file path=xl/ctrlProps/ctrlProp66.xml><?xml version="1.0" encoding="utf-8"?>
<formControlPr xmlns="http://schemas.microsoft.com/office/spreadsheetml/2009/9/main" objectType="CheckBox" fmlaLink="$M$19" lockText="1" noThreeD="1"/>
</file>

<file path=xl/ctrlProps/ctrlProp67.xml><?xml version="1.0" encoding="utf-8"?>
<formControlPr xmlns="http://schemas.microsoft.com/office/spreadsheetml/2009/9/main" objectType="CheckBox" fmlaLink="$M$23" lockText="1" noThreeD="1"/>
</file>

<file path=xl/ctrlProps/ctrlProp68.xml><?xml version="1.0" encoding="utf-8"?>
<formControlPr xmlns="http://schemas.microsoft.com/office/spreadsheetml/2009/9/main" objectType="CheckBox" fmlaLink="$M$24" lockText="1" noThreeD="1"/>
</file>

<file path=xl/ctrlProps/ctrlProp69.xml><?xml version="1.0" encoding="utf-8"?>
<formControlPr xmlns="http://schemas.microsoft.com/office/spreadsheetml/2009/9/main" objectType="CheckBox" fmlaLink="$M$27" lockText="1" noThreeD="1"/>
</file>

<file path=xl/ctrlProps/ctrlProp7.xml><?xml version="1.0" encoding="utf-8"?>
<formControlPr xmlns="http://schemas.microsoft.com/office/spreadsheetml/2009/9/main" objectType="CheckBox" fmlaLink="$M$17" lockText="1" noThreeD="1"/>
</file>

<file path=xl/ctrlProps/ctrlProp70.xml><?xml version="1.0" encoding="utf-8"?>
<formControlPr xmlns="http://schemas.microsoft.com/office/spreadsheetml/2009/9/main" objectType="CheckBox" fmlaLink="$M$28" lockText="1" noThreeD="1"/>
</file>

<file path=xl/ctrlProps/ctrlProp71.xml><?xml version="1.0" encoding="utf-8"?>
<formControlPr xmlns="http://schemas.microsoft.com/office/spreadsheetml/2009/9/main" objectType="CheckBox" fmlaLink="$M$44" lockText="1" noThreeD="1"/>
</file>

<file path=xl/ctrlProps/ctrlProp72.xml><?xml version="1.0" encoding="utf-8"?>
<formControlPr xmlns="http://schemas.microsoft.com/office/spreadsheetml/2009/9/main" objectType="CheckBox" fmlaLink="$M$42" lockText="1" noThreeD="1"/>
</file>

<file path=xl/ctrlProps/ctrlProp73.xml><?xml version="1.0" encoding="utf-8"?>
<formControlPr xmlns="http://schemas.microsoft.com/office/spreadsheetml/2009/9/main" objectType="CheckBox" fmlaLink="$M$45" lockText="1" noThreeD="1"/>
</file>

<file path=xl/ctrlProps/ctrlProp74.xml><?xml version="1.0" encoding="utf-8"?>
<formControlPr xmlns="http://schemas.microsoft.com/office/spreadsheetml/2009/9/main" objectType="CheckBox" fmlaLink="$M$46" lockText="1" noThreeD="1"/>
</file>

<file path=xl/ctrlProps/ctrlProp75.xml><?xml version="1.0" encoding="utf-8"?>
<formControlPr xmlns="http://schemas.microsoft.com/office/spreadsheetml/2009/9/main" objectType="CheckBox" fmlaLink="$M$47" lockText="1" noThreeD="1"/>
</file>

<file path=xl/ctrlProps/ctrlProp76.xml><?xml version="1.0" encoding="utf-8"?>
<formControlPr xmlns="http://schemas.microsoft.com/office/spreadsheetml/2009/9/main" objectType="CheckBox" fmlaLink="$M$49" lockText="1" noThreeD="1"/>
</file>

<file path=xl/ctrlProps/ctrlProp77.xml><?xml version="1.0" encoding="utf-8"?>
<formControlPr xmlns="http://schemas.microsoft.com/office/spreadsheetml/2009/9/main" objectType="CheckBox" fmlaLink="$M$51" lockText="1" noThreeD="1"/>
</file>

<file path=xl/ctrlProps/ctrlProp78.xml><?xml version="1.0" encoding="utf-8"?>
<formControlPr xmlns="http://schemas.microsoft.com/office/spreadsheetml/2009/9/main" objectType="CheckBox" fmlaLink="$M$57" lockText="1" noThreeD="1"/>
</file>

<file path=xl/ctrlProps/ctrlProp79.xml><?xml version="1.0" encoding="utf-8"?>
<formControlPr xmlns="http://schemas.microsoft.com/office/spreadsheetml/2009/9/main" objectType="CheckBox" fmlaLink="$M$58" lockText="1" noThreeD="1"/>
</file>

<file path=xl/ctrlProps/ctrlProp8.xml><?xml version="1.0" encoding="utf-8"?>
<formControlPr xmlns="http://schemas.microsoft.com/office/spreadsheetml/2009/9/main" objectType="CheckBox" fmlaLink="$M$20" lockText="1" noThreeD="1"/>
</file>

<file path=xl/ctrlProps/ctrlProp80.xml><?xml version="1.0" encoding="utf-8"?>
<formControlPr xmlns="http://schemas.microsoft.com/office/spreadsheetml/2009/9/main" objectType="CheckBox" fmlaLink="$M$4" lockText="1" noThreeD="1"/>
</file>

<file path=xl/ctrlProps/ctrlProp81.xml><?xml version="1.0" encoding="utf-8"?>
<formControlPr xmlns="http://schemas.microsoft.com/office/spreadsheetml/2009/9/main" objectType="CheckBox" fmlaLink="$M$5" lockText="1" noThreeD="1"/>
</file>

<file path=xl/ctrlProps/ctrlProp82.xml><?xml version="1.0" encoding="utf-8"?>
<formControlPr xmlns="http://schemas.microsoft.com/office/spreadsheetml/2009/9/main" objectType="CheckBox" fmlaLink="$M$10" lockText="1" noThreeD="1"/>
</file>

<file path=xl/ctrlProps/ctrlProp83.xml><?xml version="1.0" encoding="utf-8"?>
<formControlPr xmlns="http://schemas.microsoft.com/office/spreadsheetml/2009/9/main" objectType="CheckBox" fmlaLink="$M$12" lockText="1" noThreeD="1"/>
</file>

<file path=xl/ctrlProps/ctrlProp84.xml><?xml version="1.0" encoding="utf-8"?>
<formControlPr xmlns="http://schemas.microsoft.com/office/spreadsheetml/2009/9/main" objectType="CheckBox" fmlaLink="$M$14" lockText="1" noThreeD="1"/>
</file>

<file path=xl/ctrlProps/ctrlProp85.xml><?xml version="1.0" encoding="utf-8"?>
<formControlPr xmlns="http://schemas.microsoft.com/office/spreadsheetml/2009/9/main" objectType="CheckBox" fmlaLink="$M$16" lockText="1" noThreeD="1"/>
</file>

<file path=xl/ctrlProps/ctrlProp86.xml><?xml version="1.0" encoding="utf-8"?>
<formControlPr xmlns="http://schemas.microsoft.com/office/spreadsheetml/2009/9/main" objectType="CheckBox" fmlaLink="$M$20" lockText="1" noThreeD="1"/>
</file>

<file path=xl/ctrlProps/ctrlProp87.xml><?xml version="1.0" encoding="utf-8"?>
<formControlPr xmlns="http://schemas.microsoft.com/office/spreadsheetml/2009/9/main" objectType="CheckBox" fmlaLink="$M$22" lockText="1" noThreeD="1"/>
</file>

<file path=xl/ctrlProps/ctrlProp88.xml><?xml version="1.0" encoding="utf-8"?>
<formControlPr xmlns="http://schemas.microsoft.com/office/spreadsheetml/2009/9/main" objectType="CheckBox" fmlaLink="$M$26" lockText="1" noThreeD="1"/>
</file>

<file path=xl/ctrlProps/ctrlProp89.xml><?xml version="1.0" encoding="utf-8"?>
<formControlPr xmlns="http://schemas.microsoft.com/office/spreadsheetml/2009/9/main" objectType="CheckBox" fmlaLink="$M$28" lockText="1" noThreeD="1"/>
</file>

<file path=xl/ctrlProps/ctrlProp9.xml><?xml version="1.0" encoding="utf-8"?>
<formControlPr xmlns="http://schemas.microsoft.com/office/spreadsheetml/2009/9/main" objectType="CheckBox" fmlaLink="$M$21" lockText="1" noThreeD="1"/>
</file>

<file path=xl/ctrlProps/ctrlProp90.xml><?xml version="1.0" encoding="utf-8"?>
<formControlPr xmlns="http://schemas.microsoft.com/office/spreadsheetml/2009/9/main" objectType="CheckBox" fmlaLink="$M$29" lockText="1" noThreeD="1"/>
</file>

<file path=xl/ctrlProps/ctrlProp91.xml><?xml version="1.0" encoding="utf-8"?>
<formControlPr xmlns="http://schemas.microsoft.com/office/spreadsheetml/2009/9/main" objectType="CheckBox" fmlaLink="$M$37" lockText="1" noThreeD="1"/>
</file>

<file path=xl/ctrlProps/ctrlProp92.xml><?xml version="1.0" encoding="utf-8"?>
<formControlPr xmlns="http://schemas.microsoft.com/office/spreadsheetml/2009/9/main" objectType="CheckBox" fmlaLink="$M$38" lockText="1" noThreeD="1"/>
</file>

<file path=xl/ctrlProps/ctrlProp93.xml><?xml version="1.0" encoding="utf-8"?>
<formControlPr xmlns="http://schemas.microsoft.com/office/spreadsheetml/2009/9/main" objectType="CheckBox" fmlaLink="$M$39" lockText="1" noThreeD="1"/>
</file>

<file path=xl/ctrlProps/ctrlProp94.xml><?xml version="1.0" encoding="utf-8"?>
<formControlPr xmlns="http://schemas.microsoft.com/office/spreadsheetml/2009/9/main" objectType="CheckBox" fmlaLink="$M$43" lockText="1" noThreeD="1"/>
</file>

<file path=xl/ctrlProps/ctrlProp95.xml><?xml version="1.0" encoding="utf-8"?>
<formControlPr xmlns="http://schemas.microsoft.com/office/spreadsheetml/2009/9/main" objectType="CheckBox" fmlaLink="$M$45" lockText="1" noThreeD="1"/>
</file>

<file path=xl/ctrlProps/ctrlProp96.xml><?xml version="1.0" encoding="utf-8"?>
<formControlPr xmlns="http://schemas.microsoft.com/office/spreadsheetml/2009/9/main" objectType="CheckBox" fmlaLink="$M$47" lockText="1" noThreeD="1"/>
</file>

<file path=xl/ctrlProps/ctrlProp97.xml><?xml version="1.0" encoding="utf-8"?>
<formControlPr xmlns="http://schemas.microsoft.com/office/spreadsheetml/2009/9/main" objectType="CheckBox" fmlaLink="$M$49" lockText="1" noThreeD="1"/>
</file>

<file path=xl/ctrlProps/ctrlProp98.xml><?xml version="1.0" encoding="utf-8"?>
<formControlPr xmlns="http://schemas.microsoft.com/office/spreadsheetml/2009/9/main" objectType="CheckBox" fmlaLink="$M$51" lockText="1" noThreeD="1"/>
</file>

<file path=xl/ctrlProps/ctrlProp99.xml><?xml version="1.0" encoding="utf-8"?>
<formControlPr xmlns="http://schemas.microsoft.com/office/spreadsheetml/2009/9/main" objectType="CheckBox" fmlaLink="$M$54"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1812708</xdr:colOff>
      <xdr:row>38</xdr:row>
      <xdr:rowOff>21298</xdr:rowOff>
    </xdr:from>
    <xdr:to>
      <xdr:col>1</xdr:col>
      <xdr:colOff>3799351</xdr:colOff>
      <xdr:row>38</xdr:row>
      <xdr:rowOff>818541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25621" y="10316581"/>
          <a:ext cx="1986643" cy="797243"/>
        </a:xfrm>
        <a:prstGeom prst="rect">
          <a:avLst/>
        </a:prstGeom>
      </xdr:spPr>
    </xdr:pic>
    <xdr:clientData/>
  </xdr:twoCellAnchor>
  <xdr:twoCellAnchor editAs="oneCell">
    <xdr:from>
      <xdr:col>1</xdr:col>
      <xdr:colOff>256761</xdr:colOff>
      <xdr:row>38</xdr:row>
      <xdr:rowOff>91110</xdr:rowOff>
    </xdr:from>
    <xdr:to>
      <xdr:col>1</xdr:col>
      <xdr:colOff>1755914</xdr:colOff>
      <xdr:row>38</xdr:row>
      <xdr:rowOff>804382</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9082" y="10772717"/>
          <a:ext cx="1499153" cy="713272"/>
        </a:xfrm>
        <a:prstGeom prst="rect">
          <a:avLst/>
        </a:prstGeom>
      </xdr:spPr>
    </xdr:pic>
    <xdr:clientData/>
  </xdr:twoCellAnchor>
  <xdr:twoCellAnchor editAs="oneCell">
    <xdr:from>
      <xdr:col>1</xdr:col>
      <xdr:colOff>306457</xdr:colOff>
      <xdr:row>41</xdr:row>
      <xdr:rowOff>41412</xdr:rowOff>
    </xdr:from>
    <xdr:to>
      <xdr:col>1</xdr:col>
      <xdr:colOff>2426805</xdr:colOff>
      <xdr:row>41</xdr:row>
      <xdr:rowOff>667241</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9370" y="12175434"/>
          <a:ext cx="2120348" cy="625829"/>
        </a:xfrm>
        <a:prstGeom prst="rect">
          <a:avLst/>
        </a:prstGeom>
      </xdr:spPr>
    </xdr:pic>
    <xdr:clientData/>
  </xdr:twoCellAnchor>
  <xdr:twoCellAnchor editAs="oneCell">
    <xdr:from>
      <xdr:col>1</xdr:col>
      <xdr:colOff>367394</xdr:colOff>
      <xdr:row>57</xdr:row>
      <xdr:rowOff>100890</xdr:rowOff>
    </xdr:from>
    <xdr:to>
      <xdr:col>1</xdr:col>
      <xdr:colOff>2834858</xdr:colOff>
      <xdr:row>57</xdr:row>
      <xdr:rowOff>883257</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79715" y="15245640"/>
          <a:ext cx="2467464" cy="78236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400050</xdr:colOff>
          <xdr:row>7</xdr:row>
          <xdr:rowOff>552450</xdr:rowOff>
        </xdr:from>
        <xdr:to>
          <xdr:col>2</xdr:col>
          <xdr:colOff>1219200</xdr:colOff>
          <xdr:row>9</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8</xdr:row>
          <xdr:rowOff>171450</xdr:rowOff>
        </xdr:from>
        <xdr:to>
          <xdr:col>2</xdr:col>
          <xdr:colOff>1076325</xdr:colOff>
          <xdr:row>10</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9</xdr:row>
          <xdr:rowOff>161925</xdr:rowOff>
        </xdr:from>
        <xdr:to>
          <xdr:col>2</xdr:col>
          <xdr:colOff>1266825</xdr:colOff>
          <xdr:row>11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12</xdr:row>
          <xdr:rowOff>361950</xdr:rowOff>
        </xdr:from>
        <xdr:to>
          <xdr:col>2</xdr:col>
          <xdr:colOff>1314450</xdr:colOff>
          <xdr:row>14</xdr:row>
          <xdr:rowOff>19050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13</xdr:row>
          <xdr:rowOff>180975</xdr:rowOff>
        </xdr:from>
        <xdr:to>
          <xdr:col>2</xdr:col>
          <xdr:colOff>1314450</xdr:colOff>
          <xdr:row>15</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14</xdr:row>
          <xdr:rowOff>180975</xdr:rowOff>
        </xdr:from>
        <xdr:to>
          <xdr:col>2</xdr:col>
          <xdr:colOff>1314450</xdr:colOff>
          <xdr:row>16</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15</xdr:row>
          <xdr:rowOff>180975</xdr:rowOff>
        </xdr:from>
        <xdr:to>
          <xdr:col>2</xdr:col>
          <xdr:colOff>1323975</xdr:colOff>
          <xdr:row>17</xdr:row>
          <xdr:rowOff>19050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18</xdr:row>
          <xdr:rowOff>552450</xdr:rowOff>
        </xdr:from>
        <xdr:to>
          <xdr:col>2</xdr:col>
          <xdr:colOff>1304925</xdr:colOff>
          <xdr:row>20</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20</xdr:row>
          <xdr:rowOff>76200</xdr:rowOff>
        </xdr:from>
        <xdr:to>
          <xdr:col>2</xdr:col>
          <xdr:colOff>828675</xdr:colOff>
          <xdr:row>20</xdr:row>
          <xdr:rowOff>352425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22</xdr:row>
          <xdr:rowOff>352425</xdr:rowOff>
        </xdr:from>
        <xdr:to>
          <xdr:col>2</xdr:col>
          <xdr:colOff>1295400</xdr:colOff>
          <xdr:row>24</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23</xdr:row>
          <xdr:rowOff>171450</xdr:rowOff>
        </xdr:from>
        <xdr:to>
          <xdr:col>2</xdr:col>
          <xdr:colOff>1304925</xdr:colOff>
          <xdr:row>25</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26</xdr:row>
          <xdr:rowOff>66675</xdr:rowOff>
        </xdr:from>
        <xdr:to>
          <xdr:col>2</xdr:col>
          <xdr:colOff>771525</xdr:colOff>
          <xdr:row>26</xdr:row>
          <xdr:rowOff>323850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28</xdr:row>
          <xdr:rowOff>171450</xdr:rowOff>
        </xdr:from>
        <xdr:to>
          <xdr:col>2</xdr:col>
          <xdr:colOff>847725</xdr:colOff>
          <xdr:row>28</xdr:row>
          <xdr:rowOff>466725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1</xdr:col>
      <xdr:colOff>257737</xdr:colOff>
      <xdr:row>45</xdr:row>
      <xdr:rowOff>44824</xdr:rowOff>
    </xdr:from>
    <xdr:to>
      <xdr:col>1</xdr:col>
      <xdr:colOff>2498913</xdr:colOff>
      <xdr:row>45</xdr:row>
      <xdr:rowOff>718436</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62855" y="12270442"/>
          <a:ext cx="2241176" cy="67361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409575</xdr:colOff>
          <xdr:row>49</xdr:row>
          <xdr:rowOff>95250</xdr:rowOff>
        </xdr:from>
        <xdr:to>
          <xdr:col>2</xdr:col>
          <xdr:colOff>1276350</xdr:colOff>
          <xdr:row>50</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50</xdr:row>
          <xdr:rowOff>180975</xdr:rowOff>
        </xdr:from>
        <xdr:to>
          <xdr:col>2</xdr:col>
          <xdr:colOff>1285875</xdr:colOff>
          <xdr:row>52</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51</xdr:row>
          <xdr:rowOff>180975</xdr:rowOff>
        </xdr:from>
        <xdr:to>
          <xdr:col>2</xdr:col>
          <xdr:colOff>1295400</xdr:colOff>
          <xdr:row>53</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52</xdr:row>
          <xdr:rowOff>161925</xdr:rowOff>
        </xdr:from>
        <xdr:to>
          <xdr:col>2</xdr:col>
          <xdr:colOff>1295400</xdr:colOff>
          <xdr:row>54</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62</xdr:row>
          <xdr:rowOff>161925</xdr:rowOff>
        </xdr:from>
        <xdr:to>
          <xdr:col>2</xdr:col>
          <xdr:colOff>704850</xdr:colOff>
          <xdr:row>63</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65</xdr:row>
          <xdr:rowOff>266700</xdr:rowOff>
        </xdr:from>
        <xdr:to>
          <xdr:col>2</xdr:col>
          <xdr:colOff>685800</xdr:colOff>
          <xdr:row>66</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3857625</xdr:colOff>
          <xdr:row>58</xdr:row>
          <xdr:rowOff>180975</xdr:rowOff>
        </xdr:from>
        <xdr:to>
          <xdr:col>2</xdr:col>
          <xdr:colOff>152400</xdr:colOff>
          <xdr:row>60</xdr:row>
          <xdr:rowOff>19050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4048125</xdr:colOff>
          <xdr:row>59</xdr:row>
          <xdr:rowOff>180975</xdr:rowOff>
        </xdr:from>
        <xdr:to>
          <xdr:col>1</xdr:col>
          <xdr:colOff>4429125</xdr:colOff>
          <xdr:row>61</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69</xdr:row>
          <xdr:rowOff>66675</xdr:rowOff>
        </xdr:from>
        <xdr:to>
          <xdr:col>2</xdr:col>
          <xdr:colOff>866775</xdr:colOff>
          <xdr:row>70</xdr:row>
          <xdr:rowOff>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70</xdr:row>
          <xdr:rowOff>85725</xdr:rowOff>
        </xdr:from>
        <xdr:to>
          <xdr:col>2</xdr:col>
          <xdr:colOff>1285875</xdr:colOff>
          <xdr:row>70</xdr:row>
          <xdr:rowOff>304800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79</xdr:row>
          <xdr:rowOff>171450</xdr:rowOff>
        </xdr:from>
        <xdr:to>
          <xdr:col>2</xdr:col>
          <xdr:colOff>1295400</xdr:colOff>
          <xdr:row>81</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83</xdr:row>
          <xdr:rowOff>190500</xdr:rowOff>
        </xdr:from>
        <xdr:to>
          <xdr:col>2</xdr:col>
          <xdr:colOff>771525</xdr:colOff>
          <xdr:row>83</xdr:row>
          <xdr:rowOff>561975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85</xdr:row>
          <xdr:rowOff>85725</xdr:rowOff>
        </xdr:from>
        <xdr:to>
          <xdr:col>2</xdr:col>
          <xdr:colOff>723900</xdr:colOff>
          <xdr:row>86</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86</xdr:row>
          <xdr:rowOff>57150</xdr:rowOff>
        </xdr:from>
        <xdr:to>
          <xdr:col>2</xdr:col>
          <xdr:colOff>1314450</xdr:colOff>
          <xdr:row>86</xdr:row>
          <xdr:rowOff>276225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90</xdr:row>
          <xdr:rowOff>57150</xdr:rowOff>
        </xdr:from>
        <xdr:to>
          <xdr:col>2</xdr:col>
          <xdr:colOff>809625</xdr:colOff>
          <xdr:row>91</xdr:row>
          <xdr:rowOff>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91</xdr:row>
          <xdr:rowOff>57150</xdr:rowOff>
        </xdr:from>
        <xdr:to>
          <xdr:col>2</xdr:col>
          <xdr:colOff>1314450</xdr:colOff>
          <xdr:row>91</xdr:row>
          <xdr:rowOff>276225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95</xdr:row>
          <xdr:rowOff>171450</xdr:rowOff>
        </xdr:from>
        <xdr:to>
          <xdr:col>2</xdr:col>
          <xdr:colOff>885825</xdr:colOff>
          <xdr:row>95</xdr:row>
          <xdr:rowOff>571500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1304925</xdr:colOff>
          <xdr:row>2</xdr:row>
          <xdr:rowOff>171450</xdr:rowOff>
        </xdr:from>
        <xdr:to>
          <xdr:col>3</xdr:col>
          <xdr:colOff>676275</xdr:colOff>
          <xdr:row>4</xdr:row>
          <xdr:rowOff>9525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75</xdr:row>
          <xdr:rowOff>85725</xdr:rowOff>
        </xdr:from>
        <xdr:to>
          <xdr:col>2</xdr:col>
          <xdr:colOff>1285875</xdr:colOff>
          <xdr:row>75</xdr:row>
          <xdr:rowOff>304800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3C72DEE1-2D3D-4032-BA23-FDBFE72388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790575</xdr:colOff>
      <xdr:row>10</xdr:row>
      <xdr:rowOff>20268</xdr:rowOff>
    </xdr:from>
    <xdr:to>
      <xdr:col>1</xdr:col>
      <xdr:colOff>2867586</xdr:colOff>
      <xdr:row>10</xdr:row>
      <xdr:rowOff>724089</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0175" y="1163268"/>
          <a:ext cx="2077011" cy="703821"/>
        </a:xfrm>
        <a:prstGeom prst="rect">
          <a:avLst/>
        </a:prstGeom>
      </xdr:spPr>
    </xdr:pic>
    <xdr:clientData/>
  </xdr:twoCellAnchor>
  <xdr:twoCellAnchor editAs="oneCell">
    <xdr:from>
      <xdr:col>1</xdr:col>
      <xdr:colOff>64836</xdr:colOff>
      <xdr:row>15</xdr:row>
      <xdr:rowOff>326092</xdr:rowOff>
    </xdr:from>
    <xdr:to>
      <xdr:col>1</xdr:col>
      <xdr:colOff>2134337</xdr:colOff>
      <xdr:row>15</xdr:row>
      <xdr:rowOff>1641009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9954" y="2802592"/>
          <a:ext cx="2069501" cy="1314917"/>
        </a:xfrm>
        <a:prstGeom prst="rect">
          <a:avLst/>
        </a:prstGeom>
      </xdr:spPr>
    </xdr:pic>
    <xdr:clientData/>
  </xdr:twoCellAnchor>
  <xdr:twoCellAnchor editAs="oneCell">
    <xdr:from>
      <xdr:col>1</xdr:col>
      <xdr:colOff>2207558</xdr:colOff>
      <xdr:row>15</xdr:row>
      <xdr:rowOff>33618</xdr:rowOff>
    </xdr:from>
    <xdr:to>
      <xdr:col>1</xdr:col>
      <xdr:colOff>4299914</xdr:colOff>
      <xdr:row>15</xdr:row>
      <xdr:rowOff>1826559</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12676" y="2667000"/>
          <a:ext cx="2092356" cy="17929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466725</xdr:colOff>
          <xdr:row>48</xdr:row>
          <xdr:rowOff>142875</xdr:rowOff>
        </xdr:from>
        <xdr:to>
          <xdr:col>2</xdr:col>
          <xdr:colOff>1333500</xdr:colOff>
          <xdr:row>48</xdr:row>
          <xdr:rowOff>361950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48</xdr:row>
          <xdr:rowOff>542925</xdr:rowOff>
        </xdr:from>
        <xdr:to>
          <xdr:col>2</xdr:col>
          <xdr:colOff>1333500</xdr:colOff>
          <xdr:row>50</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58</xdr:row>
          <xdr:rowOff>352425</xdr:rowOff>
        </xdr:from>
        <xdr:to>
          <xdr:col>2</xdr:col>
          <xdr:colOff>676275</xdr:colOff>
          <xdr:row>60</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58</xdr:row>
          <xdr:rowOff>352425</xdr:rowOff>
        </xdr:from>
        <xdr:to>
          <xdr:col>2</xdr:col>
          <xdr:colOff>1047750</xdr:colOff>
          <xdr:row>60</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666750</xdr:colOff>
          <xdr:row>58</xdr:row>
          <xdr:rowOff>161925</xdr:rowOff>
        </xdr:from>
        <xdr:to>
          <xdr:col>2</xdr:col>
          <xdr:colOff>990600</xdr:colOff>
          <xdr:row>59</xdr:row>
          <xdr:rowOff>9525</xdr:rowOff>
        </xdr:to>
        <xdr:sp macro="" textlink="">
          <xdr:nvSpPr>
            <xdr:cNvPr id="3078" name="Label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SG" sz="800" b="0" i="0" u="none" strike="noStrike" baseline="0">
                  <a:solidFill>
                    <a:srgbClr val="000000"/>
                  </a:solidFill>
                  <a:latin typeface="Segoe UI"/>
                  <a:cs typeface="Segoe UI"/>
                </a:rPr>
                <a:t>MV</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314325</xdr:colOff>
          <xdr:row>58</xdr:row>
          <xdr:rowOff>161925</xdr:rowOff>
        </xdr:from>
        <xdr:to>
          <xdr:col>2</xdr:col>
          <xdr:colOff>638175</xdr:colOff>
          <xdr:row>58</xdr:row>
          <xdr:rowOff>352425</xdr:rowOff>
        </xdr:to>
        <xdr:sp macro="" textlink="">
          <xdr:nvSpPr>
            <xdr:cNvPr id="3079" name="Label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SG" sz="800" b="0" i="0" u="none" strike="noStrike" baseline="0">
                  <a:solidFill>
                    <a:srgbClr val="000000"/>
                  </a:solidFill>
                  <a:latin typeface="Segoe UI"/>
                  <a:cs typeface="Segoe UI"/>
                </a:rPr>
                <a:t>NV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61</xdr:row>
          <xdr:rowOff>161925</xdr:rowOff>
        </xdr:from>
        <xdr:to>
          <xdr:col>2</xdr:col>
          <xdr:colOff>676275</xdr:colOff>
          <xdr:row>63</xdr:row>
          <xdr:rowOff>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61</xdr:row>
          <xdr:rowOff>171450</xdr:rowOff>
        </xdr:from>
        <xdr:to>
          <xdr:col>2</xdr:col>
          <xdr:colOff>1066800</xdr:colOff>
          <xdr:row>63</xdr:row>
          <xdr:rowOff>9525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59</xdr:row>
          <xdr:rowOff>180975</xdr:rowOff>
        </xdr:from>
        <xdr:to>
          <xdr:col>2</xdr:col>
          <xdr:colOff>676275</xdr:colOff>
          <xdr:row>61</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59</xdr:row>
          <xdr:rowOff>180975</xdr:rowOff>
        </xdr:from>
        <xdr:to>
          <xdr:col>2</xdr:col>
          <xdr:colOff>1047750</xdr:colOff>
          <xdr:row>61</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60</xdr:row>
          <xdr:rowOff>161925</xdr:rowOff>
        </xdr:from>
        <xdr:to>
          <xdr:col>2</xdr:col>
          <xdr:colOff>666750</xdr:colOff>
          <xdr:row>62</xdr:row>
          <xdr:rowOff>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60</xdr:row>
          <xdr:rowOff>171450</xdr:rowOff>
        </xdr:from>
        <xdr:to>
          <xdr:col>2</xdr:col>
          <xdr:colOff>1038225</xdr:colOff>
          <xdr:row>62</xdr:row>
          <xdr:rowOff>9525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62</xdr:row>
          <xdr:rowOff>171450</xdr:rowOff>
        </xdr:from>
        <xdr:to>
          <xdr:col>2</xdr:col>
          <xdr:colOff>666750</xdr:colOff>
          <xdr:row>64</xdr:row>
          <xdr:rowOff>9525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62</xdr:row>
          <xdr:rowOff>171450</xdr:rowOff>
        </xdr:from>
        <xdr:to>
          <xdr:col>2</xdr:col>
          <xdr:colOff>1057275</xdr:colOff>
          <xdr:row>64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762000</xdr:colOff>
      <xdr:row>78</xdr:row>
      <xdr:rowOff>39650</xdr:rowOff>
    </xdr:from>
    <xdr:to>
      <xdr:col>1</xdr:col>
      <xdr:colOff>3266818</xdr:colOff>
      <xdr:row>78</xdr:row>
      <xdr:rowOff>1275180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4913" y="20423150"/>
          <a:ext cx="2504818" cy="1235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419100</xdr:colOff>
          <xdr:row>70</xdr:row>
          <xdr:rowOff>133350</xdr:rowOff>
        </xdr:from>
        <xdr:to>
          <xdr:col>2</xdr:col>
          <xdr:colOff>809625</xdr:colOff>
          <xdr:row>71</xdr:row>
          <xdr:rowOff>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73</xdr:row>
          <xdr:rowOff>76200</xdr:rowOff>
        </xdr:from>
        <xdr:to>
          <xdr:col>2</xdr:col>
          <xdr:colOff>838200</xdr:colOff>
          <xdr:row>73</xdr:row>
          <xdr:rowOff>295275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74</xdr:row>
          <xdr:rowOff>66675</xdr:rowOff>
        </xdr:from>
        <xdr:to>
          <xdr:col>2</xdr:col>
          <xdr:colOff>828675</xdr:colOff>
          <xdr:row>74</xdr:row>
          <xdr:rowOff>285750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75</xdr:row>
          <xdr:rowOff>133350</xdr:rowOff>
        </xdr:from>
        <xdr:to>
          <xdr:col>2</xdr:col>
          <xdr:colOff>838200</xdr:colOff>
          <xdr:row>75</xdr:row>
          <xdr:rowOff>352425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606426</xdr:colOff>
      <xdr:row>39</xdr:row>
      <xdr:rowOff>704851</xdr:rowOff>
    </xdr:from>
    <xdr:to>
      <xdr:col>1</xdr:col>
      <xdr:colOff>3511550</xdr:colOff>
      <xdr:row>39</xdr:row>
      <xdr:rowOff>1486769</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09676" y="12309476"/>
          <a:ext cx="2905124" cy="781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16</xdr:row>
          <xdr:rowOff>209550</xdr:rowOff>
        </xdr:from>
        <xdr:to>
          <xdr:col>1</xdr:col>
          <xdr:colOff>4238625</xdr:colOff>
          <xdr:row>16</xdr:row>
          <xdr:rowOff>790575</xdr:rowOff>
        </xdr:to>
        <xdr:sp macro="" textlink="">
          <xdr:nvSpPr>
            <xdr:cNvPr id="3098" name="List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209550</xdr:rowOff>
        </xdr:from>
        <xdr:to>
          <xdr:col>1</xdr:col>
          <xdr:colOff>4238625</xdr:colOff>
          <xdr:row>19</xdr:row>
          <xdr:rowOff>781050</xdr:rowOff>
        </xdr:to>
        <xdr:sp macro="" textlink="">
          <xdr:nvSpPr>
            <xdr:cNvPr id="3100" name="List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466725</xdr:colOff>
          <xdr:row>52</xdr:row>
          <xdr:rowOff>76200</xdr:rowOff>
        </xdr:from>
        <xdr:to>
          <xdr:col>2</xdr:col>
          <xdr:colOff>1333500</xdr:colOff>
          <xdr:row>52</xdr:row>
          <xdr:rowOff>295275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52</xdr:row>
          <xdr:rowOff>352425</xdr:rowOff>
        </xdr:from>
        <xdr:to>
          <xdr:col>2</xdr:col>
          <xdr:colOff>1323975</xdr:colOff>
          <xdr:row>54</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35</xdr:row>
          <xdr:rowOff>552450</xdr:rowOff>
        </xdr:from>
        <xdr:to>
          <xdr:col>2</xdr:col>
          <xdr:colOff>1504950</xdr:colOff>
          <xdr:row>37</xdr:row>
          <xdr:rowOff>104775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1228725</xdr:colOff>
          <xdr:row>2</xdr:row>
          <xdr:rowOff>171450</xdr:rowOff>
        </xdr:from>
        <xdr:to>
          <xdr:col>2</xdr:col>
          <xdr:colOff>1504950</xdr:colOff>
          <xdr:row>3</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3</xdr:row>
          <xdr:rowOff>171450</xdr:rowOff>
        </xdr:from>
        <xdr:to>
          <xdr:col>2</xdr:col>
          <xdr:colOff>1495425</xdr:colOff>
          <xdr:row>4</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4</xdr:row>
          <xdr:rowOff>171450</xdr:rowOff>
        </xdr:from>
        <xdr:to>
          <xdr:col>2</xdr:col>
          <xdr:colOff>1485900</xdr:colOff>
          <xdr:row>6</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6</xdr:row>
          <xdr:rowOff>57150</xdr:rowOff>
        </xdr:from>
        <xdr:to>
          <xdr:col>2</xdr:col>
          <xdr:colOff>1485900</xdr:colOff>
          <xdr:row>6</xdr:row>
          <xdr:rowOff>266700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457200</xdr:colOff>
          <xdr:row>53</xdr:row>
          <xdr:rowOff>161925</xdr:rowOff>
        </xdr:from>
        <xdr:to>
          <xdr:col>2</xdr:col>
          <xdr:colOff>1323975</xdr:colOff>
          <xdr:row>55</xdr:row>
          <xdr:rowOff>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400050</xdr:colOff>
          <xdr:row>9</xdr:row>
          <xdr:rowOff>152400</xdr:rowOff>
        </xdr:from>
        <xdr:to>
          <xdr:col>2</xdr:col>
          <xdr:colOff>1266825</xdr:colOff>
          <xdr:row>9</xdr:row>
          <xdr:rowOff>371475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718038</xdr:colOff>
      <xdr:row>7</xdr:row>
      <xdr:rowOff>381000</xdr:rowOff>
    </xdr:from>
    <xdr:to>
      <xdr:col>1</xdr:col>
      <xdr:colOff>2901461</xdr:colOff>
      <xdr:row>7</xdr:row>
      <xdr:rowOff>1148569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6173" y="1333500"/>
          <a:ext cx="2183423" cy="7675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371475</xdr:colOff>
          <xdr:row>12</xdr:row>
          <xdr:rowOff>180975</xdr:rowOff>
        </xdr:from>
        <xdr:to>
          <xdr:col>2</xdr:col>
          <xdr:colOff>1238250</xdr:colOff>
          <xdr:row>12</xdr:row>
          <xdr:rowOff>400050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381000</xdr:colOff>
          <xdr:row>12</xdr:row>
          <xdr:rowOff>552450</xdr:rowOff>
        </xdr:from>
        <xdr:to>
          <xdr:col>2</xdr:col>
          <xdr:colOff>1247775</xdr:colOff>
          <xdr:row>14</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16</xdr:row>
          <xdr:rowOff>171450</xdr:rowOff>
        </xdr:from>
        <xdr:to>
          <xdr:col>2</xdr:col>
          <xdr:colOff>1257300</xdr:colOff>
          <xdr:row>16</xdr:row>
          <xdr:rowOff>390525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17</xdr:row>
          <xdr:rowOff>171450</xdr:rowOff>
        </xdr:from>
        <xdr:to>
          <xdr:col>2</xdr:col>
          <xdr:colOff>1276350</xdr:colOff>
          <xdr:row>17</xdr:row>
          <xdr:rowOff>390525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18</xdr:row>
          <xdr:rowOff>104775</xdr:rowOff>
        </xdr:from>
        <xdr:to>
          <xdr:col>2</xdr:col>
          <xdr:colOff>1266825</xdr:colOff>
          <xdr:row>18</xdr:row>
          <xdr:rowOff>323850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21</xdr:row>
          <xdr:rowOff>352425</xdr:rowOff>
        </xdr:from>
        <xdr:to>
          <xdr:col>2</xdr:col>
          <xdr:colOff>1257300</xdr:colOff>
          <xdr:row>23</xdr:row>
          <xdr:rowOff>9525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23</xdr:row>
          <xdr:rowOff>66675</xdr:rowOff>
        </xdr:from>
        <xdr:to>
          <xdr:col>2</xdr:col>
          <xdr:colOff>1266825</xdr:colOff>
          <xdr:row>24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xdr:row>
          <xdr:rowOff>295275</xdr:rowOff>
        </xdr:from>
        <xdr:to>
          <xdr:col>2</xdr:col>
          <xdr:colOff>1257300</xdr:colOff>
          <xdr:row>26</xdr:row>
          <xdr:rowOff>514350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27</xdr:row>
          <xdr:rowOff>66675</xdr:rowOff>
        </xdr:from>
        <xdr:to>
          <xdr:col>2</xdr:col>
          <xdr:colOff>1276350</xdr:colOff>
          <xdr:row>27</xdr:row>
          <xdr:rowOff>285750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714375</xdr:colOff>
      <xdr:row>30</xdr:row>
      <xdr:rowOff>15226</xdr:rowOff>
    </xdr:from>
    <xdr:to>
      <xdr:col>1</xdr:col>
      <xdr:colOff>2703523</xdr:colOff>
      <xdr:row>30</xdr:row>
      <xdr:rowOff>827112</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23975" y="10006951"/>
          <a:ext cx="1989148" cy="81188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352425</xdr:colOff>
          <xdr:row>42</xdr:row>
          <xdr:rowOff>638175</xdr:rowOff>
        </xdr:from>
        <xdr:to>
          <xdr:col>2</xdr:col>
          <xdr:colOff>1219200</xdr:colOff>
          <xdr:row>44</xdr:row>
          <xdr:rowOff>9525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41</xdr:row>
          <xdr:rowOff>76200</xdr:rowOff>
        </xdr:from>
        <xdr:to>
          <xdr:col>2</xdr:col>
          <xdr:colOff>1228725</xdr:colOff>
          <xdr:row>41</xdr:row>
          <xdr:rowOff>295275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43</xdr:row>
          <xdr:rowOff>161925</xdr:rowOff>
        </xdr:from>
        <xdr:to>
          <xdr:col>2</xdr:col>
          <xdr:colOff>1228725</xdr:colOff>
          <xdr:row>45</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45</xdr:row>
          <xdr:rowOff>0</xdr:rowOff>
        </xdr:from>
        <xdr:to>
          <xdr:col>2</xdr:col>
          <xdr:colOff>1238250</xdr:colOff>
          <xdr:row>46</xdr:row>
          <xdr:rowOff>28575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361950</xdr:colOff>
          <xdr:row>45</xdr:row>
          <xdr:rowOff>171450</xdr:rowOff>
        </xdr:from>
        <xdr:to>
          <xdr:col>2</xdr:col>
          <xdr:colOff>1228725</xdr:colOff>
          <xdr:row>47</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47</xdr:row>
          <xdr:rowOff>171450</xdr:rowOff>
        </xdr:from>
        <xdr:to>
          <xdr:col>2</xdr:col>
          <xdr:colOff>1238250</xdr:colOff>
          <xdr:row>49</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50</xdr:row>
          <xdr:rowOff>76200</xdr:rowOff>
        </xdr:from>
        <xdr:to>
          <xdr:col>2</xdr:col>
          <xdr:colOff>1276350</xdr:colOff>
          <xdr:row>50</xdr:row>
          <xdr:rowOff>361950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55</xdr:row>
          <xdr:rowOff>523875</xdr:rowOff>
        </xdr:from>
        <xdr:to>
          <xdr:col>2</xdr:col>
          <xdr:colOff>1238250</xdr:colOff>
          <xdr:row>56</xdr:row>
          <xdr:rowOff>180975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56</xdr:row>
          <xdr:rowOff>161925</xdr:rowOff>
        </xdr:from>
        <xdr:to>
          <xdr:col>2</xdr:col>
          <xdr:colOff>1257300</xdr:colOff>
          <xdr:row>58</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244337</xdr:colOff>
      <xdr:row>34</xdr:row>
      <xdr:rowOff>828261</xdr:rowOff>
    </xdr:from>
    <xdr:to>
      <xdr:col>1</xdr:col>
      <xdr:colOff>3192945</xdr:colOff>
      <xdr:row>34</xdr:row>
      <xdr:rowOff>1442804</xdr:rowOff>
    </xdr:to>
    <xdr:pic>
      <xdr:nvPicPr>
        <xdr:cNvPr id="25" name="Picture 24">
          <a:extLst>
            <a:ext uri="{FF2B5EF4-FFF2-40B4-BE49-F238E27FC236}">
              <a16:creationId xmlns:a16="http://schemas.microsoft.com/office/drawing/2014/main" id="{00000000-0008-0000-0400-000019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47587" y="13480636"/>
          <a:ext cx="2948608" cy="614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192367</xdr:colOff>
      <xdr:row>37</xdr:row>
      <xdr:rowOff>1287742</xdr:rowOff>
    </xdr:from>
    <xdr:to>
      <xdr:col>1</xdr:col>
      <xdr:colOff>3240477</xdr:colOff>
      <xdr:row>37</xdr:row>
      <xdr:rowOff>1982507</xdr:rowOff>
    </xdr:to>
    <xdr:pic>
      <xdr:nvPicPr>
        <xdr:cNvPr id="26" name="Picture 25">
          <a:extLst>
            <a:ext uri="{FF2B5EF4-FFF2-40B4-BE49-F238E27FC236}">
              <a16:creationId xmlns:a16="http://schemas.microsoft.com/office/drawing/2014/main" id="{00000000-0008-0000-0400-00001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95617" y="16257867"/>
          <a:ext cx="3048110" cy="69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198905</xdr:colOff>
      <xdr:row>37</xdr:row>
      <xdr:rowOff>2033867</xdr:rowOff>
    </xdr:from>
    <xdr:to>
      <xdr:col>1</xdr:col>
      <xdr:colOff>3246904</xdr:colOff>
      <xdr:row>37</xdr:row>
      <xdr:rowOff>2733068</xdr:rowOff>
    </xdr:to>
    <xdr:pic>
      <xdr:nvPicPr>
        <xdr:cNvPr id="27" name="Picture 26">
          <a:extLst>
            <a:ext uri="{FF2B5EF4-FFF2-40B4-BE49-F238E27FC236}">
              <a16:creationId xmlns:a16="http://schemas.microsoft.com/office/drawing/2014/main" id="{00000000-0008-0000-0400-00001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2155" y="17003992"/>
          <a:ext cx="3047999" cy="6992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1314450</xdr:colOff>
          <xdr:row>2</xdr:row>
          <xdr:rowOff>180975</xdr:rowOff>
        </xdr:from>
        <xdr:to>
          <xdr:col>3</xdr:col>
          <xdr:colOff>561975</xdr:colOff>
          <xdr:row>4</xdr:row>
          <xdr:rowOff>19050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1314450</xdr:colOff>
          <xdr:row>3</xdr:row>
          <xdr:rowOff>171450</xdr:rowOff>
        </xdr:from>
        <xdr:to>
          <xdr:col>3</xdr:col>
          <xdr:colOff>571500</xdr:colOff>
          <xdr:row>5</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561975</xdr:colOff>
          <xdr:row>8</xdr:row>
          <xdr:rowOff>361950</xdr:rowOff>
        </xdr:from>
        <xdr:to>
          <xdr:col>3</xdr:col>
          <xdr:colOff>85725</xdr:colOff>
          <xdr:row>10</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10</xdr:row>
          <xdr:rowOff>542925</xdr:rowOff>
        </xdr:from>
        <xdr:to>
          <xdr:col>3</xdr:col>
          <xdr:colOff>114300</xdr:colOff>
          <xdr:row>12</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12</xdr:row>
          <xdr:rowOff>542925</xdr:rowOff>
        </xdr:from>
        <xdr:to>
          <xdr:col>3</xdr:col>
          <xdr:colOff>133350</xdr:colOff>
          <xdr:row>14</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14</xdr:row>
          <xdr:rowOff>1085850</xdr:rowOff>
        </xdr:from>
        <xdr:to>
          <xdr:col>3</xdr:col>
          <xdr:colOff>85725</xdr:colOff>
          <xdr:row>16</xdr:row>
          <xdr:rowOff>19050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18</xdr:row>
          <xdr:rowOff>561975</xdr:rowOff>
        </xdr:from>
        <xdr:to>
          <xdr:col>3</xdr:col>
          <xdr:colOff>114300</xdr:colOff>
          <xdr:row>20</xdr:row>
          <xdr:rowOff>28575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20</xdr:row>
          <xdr:rowOff>561975</xdr:rowOff>
        </xdr:from>
        <xdr:to>
          <xdr:col>3</xdr:col>
          <xdr:colOff>133350</xdr:colOff>
          <xdr:row>22</xdr:row>
          <xdr:rowOff>28575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25</xdr:row>
          <xdr:rowOff>371475</xdr:rowOff>
        </xdr:from>
        <xdr:to>
          <xdr:col>3</xdr:col>
          <xdr:colOff>114300</xdr:colOff>
          <xdr:row>25</xdr:row>
          <xdr:rowOff>590550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27</xdr:row>
          <xdr:rowOff>66675</xdr:rowOff>
        </xdr:from>
        <xdr:to>
          <xdr:col>3</xdr:col>
          <xdr:colOff>114300</xdr:colOff>
          <xdr:row>27</xdr:row>
          <xdr:rowOff>285750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28</xdr:row>
          <xdr:rowOff>66675</xdr:rowOff>
        </xdr:from>
        <xdr:to>
          <xdr:col>3</xdr:col>
          <xdr:colOff>123825</xdr:colOff>
          <xdr:row>28</xdr:row>
          <xdr:rowOff>285750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35</xdr:row>
          <xdr:rowOff>752475</xdr:rowOff>
        </xdr:from>
        <xdr:to>
          <xdr:col>3</xdr:col>
          <xdr:colOff>57150</xdr:colOff>
          <xdr:row>37</xdr:row>
          <xdr:rowOff>28575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36</xdr:row>
          <xdr:rowOff>180975</xdr:rowOff>
        </xdr:from>
        <xdr:to>
          <xdr:col>3</xdr:col>
          <xdr:colOff>66675</xdr:colOff>
          <xdr:row>38</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37</xdr:row>
          <xdr:rowOff>190500</xdr:rowOff>
        </xdr:from>
        <xdr:to>
          <xdr:col>3</xdr:col>
          <xdr:colOff>76200</xdr:colOff>
          <xdr:row>39</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42</xdr:row>
          <xdr:rowOff>323850</xdr:rowOff>
        </xdr:from>
        <xdr:to>
          <xdr:col>3</xdr:col>
          <xdr:colOff>66675</xdr:colOff>
          <xdr:row>42</xdr:row>
          <xdr:rowOff>542925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44</xdr:row>
          <xdr:rowOff>133350</xdr:rowOff>
        </xdr:from>
        <xdr:to>
          <xdr:col>3</xdr:col>
          <xdr:colOff>76200</xdr:colOff>
          <xdr:row>44</xdr:row>
          <xdr:rowOff>352425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46</xdr:row>
          <xdr:rowOff>285750</xdr:rowOff>
        </xdr:from>
        <xdr:to>
          <xdr:col>3</xdr:col>
          <xdr:colOff>123825</xdr:colOff>
          <xdr:row>46</xdr:row>
          <xdr:rowOff>504825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48</xdr:row>
          <xdr:rowOff>133350</xdr:rowOff>
        </xdr:from>
        <xdr:to>
          <xdr:col>3</xdr:col>
          <xdr:colOff>142875</xdr:colOff>
          <xdr:row>48</xdr:row>
          <xdr:rowOff>352425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50</xdr:row>
          <xdr:rowOff>619125</xdr:rowOff>
        </xdr:from>
        <xdr:to>
          <xdr:col>3</xdr:col>
          <xdr:colOff>142875</xdr:colOff>
          <xdr:row>50</xdr:row>
          <xdr:rowOff>838200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53</xdr:row>
          <xdr:rowOff>47625</xdr:rowOff>
        </xdr:from>
        <xdr:to>
          <xdr:col>3</xdr:col>
          <xdr:colOff>152400</xdr:colOff>
          <xdr:row>53</xdr:row>
          <xdr:rowOff>266700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54</xdr:row>
          <xdr:rowOff>47625</xdr:rowOff>
        </xdr:from>
        <xdr:to>
          <xdr:col>3</xdr:col>
          <xdr:colOff>161925</xdr:colOff>
          <xdr:row>54</xdr:row>
          <xdr:rowOff>266700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58</xdr:row>
          <xdr:rowOff>57150</xdr:rowOff>
        </xdr:from>
        <xdr:to>
          <xdr:col>3</xdr:col>
          <xdr:colOff>114300</xdr:colOff>
          <xdr:row>58</xdr:row>
          <xdr:rowOff>276225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58</xdr:row>
          <xdr:rowOff>352425</xdr:rowOff>
        </xdr:from>
        <xdr:to>
          <xdr:col>3</xdr:col>
          <xdr:colOff>123825</xdr:colOff>
          <xdr:row>60</xdr:row>
          <xdr:rowOff>9525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59</xdr:row>
          <xdr:rowOff>180975</xdr:rowOff>
        </xdr:from>
        <xdr:to>
          <xdr:col>3</xdr:col>
          <xdr:colOff>123825</xdr:colOff>
          <xdr:row>61</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60</xdr:row>
          <xdr:rowOff>180975</xdr:rowOff>
        </xdr:from>
        <xdr:to>
          <xdr:col>3</xdr:col>
          <xdr:colOff>133350</xdr:colOff>
          <xdr:row>62</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61</xdr:row>
          <xdr:rowOff>180975</xdr:rowOff>
        </xdr:from>
        <xdr:to>
          <xdr:col>3</xdr:col>
          <xdr:colOff>133350</xdr:colOff>
          <xdr:row>63</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62</xdr:row>
          <xdr:rowOff>180975</xdr:rowOff>
        </xdr:from>
        <xdr:to>
          <xdr:col>3</xdr:col>
          <xdr:colOff>133350</xdr:colOff>
          <xdr:row>64</xdr:row>
          <xdr:rowOff>19050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63</xdr:row>
          <xdr:rowOff>180975</xdr:rowOff>
        </xdr:from>
        <xdr:to>
          <xdr:col>3</xdr:col>
          <xdr:colOff>142875</xdr:colOff>
          <xdr:row>65</xdr:row>
          <xdr:rowOff>19050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67</xdr:row>
          <xdr:rowOff>180975</xdr:rowOff>
        </xdr:from>
        <xdr:to>
          <xdr:col>3</xdr:col>
          <xdr:colOff>85725</xdr:colOff>
          <xdr:row>67</xdr:row>
          <xdr:rowOff>400050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68</xdr:row>
          <xdr:rowOff>57150</xdr:rowOff>
        </xdr:from>
        <xdr:to>
          <xdr:col>3</xdr:col>
          <xdr:colOff>95250</xdr:colOff>
          <xdr:row>68</xdr:row>
          <xdr:rowOff>276225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69</xdr:row>
          <xdr:rowOff>66675</xdr:rowOff>
        </xdr:from>
        <xdr:to>
          <xdr:col>3</xdr:col>
          <xdr:colOff>95250</xdr:colOff>
          <xdr:row>69</xdr:row>
          <xdr:rowOff>285750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71</xdr:row>
          <xdr:rowOff>333375</xdr:rowOff>
        </xdr:from>
        <xdr:to>
          <xdr:col>3</xdr:col>
          <xdr:colOff>95250</xdr:colOff>
          <xdr:row>71</xdr:row>
          <xdr:rowOff>552450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571500</xdr:colOff>
          <xdr:row>73</xdr:row>
          <xdr:rowOff>66675</xdr:rowOff>
        </xdr:from>
        <xdr:to>
          <xdr:col>3</xdr:col>
          <xdr:colOff>95250</xdr:colOff>
          <xdr:row>73</xdr:row>
          <xdr:rowOff>285750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76</xdr:row>
          <xdr:rowOff>180975</xdr:rowOff>
        </xdr:from>
        <xdr:to>
          <xdr:col>3</xdr:col>
          <xdr:colOff>47625</xdr:colOff>
          <xdr:row>78</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77</xdr:row>
          <xdr:rowOff>180975</xdr:rowOff>
        </xdr:from>
        <xdr:to>
          <xdr:col>3</xdr:col>
          <xdr:colOff>57150</xdr:colOff>
          <xdr:row>79</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78</xdr:row>
          <xdr:rowOff>161925</xdr:rowOff>
        </xdr:from>
        <xdr:to>
          <xdr:col>3</xdr:col>
          <xdr:colOff>66675</xdr:colOff>
          <xdr:row>80</xdr:row>
          <xdr:rowOff>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79</xdr:row>
          <xdr:rowOff>171450</xdr:rowOff>
        </xdr:from>
        <xdr:to>
          <xdr:col>3</xdr:col>
          <xdr:colOff>66675</xdr:colOff>
          <xdr:row>81</xdr:row>
          <xdr:rowOff>9525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5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80</xdr:row>
          <xdr:rowOff>171450</xdr:rowOff>
        </xdr:from>
        <xdr:to>
          <xdr:col>3</xdr:col>
          <xdr:colOff>85725</xdr:colOff>
          <xdr:row>82</xdr:row>
          <xdr:rowOff>9525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5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2</xdr:row>
          <xdr:rowOff>161925</xdr:rowOff>
        </xdr:from>
        <xdr:to>
          <xdr:col>3</xdr:col>
          <xdr:colOff>800100</xdr:colOff>
          <xdr:row>4</xdr:row>
          <xdr:rowOff>0</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5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3</xdr:row>
          <xdr:rowOff>171450</xdr:rowOff>
        </xdr:from>
        <xdr:to>
          <xdr:col>3</xdr:col>
          <xdr:colOff>790575</xdr:colOff>
          <xdr:row>5</xdr:row>
          <xdr:rowOff>9525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5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1276350</xdr:colOff>
          <xdr:row>4</xdr:row>
          <xdr:rowOff>171450</xdr:rowOff>
        </xdr:from>
        <xdr:to>
          <xdr:col>3</xdr:col>
          <xdr:colOff>781050</xdr:colOff>
          <xdr:row>6</xdr:row>
          <xdr:rowOff>9525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5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87</xdr:row>
          <xdr:rowOff>104775</xdr:rowOff>
        </xdr:from>
        <xdr:to>
          <xdr:col>1</xdr:col>
          <xdr:colOff>3752850</xdr:colOff>
          <xdr:row>87</xdr:row>
          <xdr:rowOff>885825</xdr:rowOff>
        </xdr:to>
        <xdr:sp macro="" textlink="">
          <xdr:nvSpPr>
            <xdr:cNvPr id="7217" name="List Box 49" hidden="1">
              <a:extLst>
                <a:ext uri="{63B3BB69-23CF-44E3-9099-C40C66FF867C}">
                  <a14:compatExt spid="_x0000_s7217"/>
                </a:ext>
                <a:ext uri="{FF2B5EF4-FFF2-40B4-BE49-F238E27FC236}">
                  <a16:creationId xmlns:a16="http://schemas.microsoft.com/office/drawing/2014/main" id="{00000000-0008-0000-0500-00003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89</xdr:row>
          <xdr:rowOff>104775</xdr:rowOff>
        </xdr:from>
        <xdr:to>
          <xdr:col>1</xdr:col>
          <xdr:colOff>3752850</xdr:colOff>
          <xdr:row>89</xdr:row>
          <xdr:rowOff>885825</xdr:rowOff>
        </xdr:to>
        <xdr:sp macro="" textlink="">
          <xdr:nvSpPr>
            <xdr:cNvPr id="7218" name="List Box 50" hidden="1">
              <a:extLst>
                <a:ext uri="{63B3BB69-23CF-44E3-9099-C40C66FF867C}">
                  <a14:compatExt spid="_x0000_s7218"/>
                </a:ext>
                <a:ext uri="{FF2B5EF4-FFF2-40B4-BE49-F238E27FC236}">
                  <a16:creationId xmlns:a16="http://schemas.microsoft.com/office/drawing/2014/main" id="{00000000-0008-0000-0500-00003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91</xdr:row>
          <xdr:rowOff>104775</xdr:rowOff>
        </xdr:from>
        <xdr:to>
          <xdr:col>1</xdr:col>
          <xdr:colOff>3752850</xdr:colOff>
          <xdr:row>91</xdr:row>
          <xdr:rowOff>885825</xdr:rowOff>
        </xdr:to>
        <xdr:sp macro="" textlink="">
          <xdr:nvSpPr>
            <xdr:cNvPr id="7219" name="List Box 51" hidden="1">
              <a:extLst>
                <a:ext uri="{63B3BB69-23CF-44E3-9099-C40C66FF867C}">
                  <a14:compatExt spid="_x0000_s7219"/>
                </a:ext>
                <a:ext uri="{FF2B5EF4-FFF2-40B4-BE49-F238E27FC236}">
                  <a16:creationId xmlns:a16="http://schemas.microsoft.com/office/drawing/2014/main" id="{00000000-0008-0000-0500-00003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93</xdr:row>
          <xdr:rowOff>104775</xdr:rowOff>
        </xdr:from>
        <xdr:to>
          <xdr:col>1</xdr:col>
          <xdr:colOff>3752850</xdr:colOff>
          <xdr:row>93</xdr:row>
          <xdr:rowOff>885825</xdr:rowOff>
        </xdr:to>
        <xdr:sp macro="" textlink="">
          <xdr:nvSpPr>
            <xdr:cNvPr id="7220" name="List Box 52" hidden="1">
              <a:extLst>
                <a:ext uri="{63B3BB69-23CF-44E3-9099-C40C66FF867C}">
                  <a14:compatExt spid="_x0000_s7220"/>
                </a:ext>
                <a:ext uri="{FF2B5EF4-FFF2-40B4-BE49-F238E27FC236}">
                  <a16:creationId xmlns:a16="http://schemas.microsoft.com/office/drawing/2014/main" id="{00000000-0008-0000-0500-00003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180975</xdr:rowOff>
        </xdr:from>
        <xdr:to>
          <xdr:col>1</xdr:col>
          <xdr:colOff>3771900</xdr:colOff>
          <xdr:row>96</xdr:row>
          <xdr:rowOff>866775</xdr:rowOff>
        </xdr:to>
        <xdr:sp macro="" textlink="">
          <xdr:nvSpPr>
            <xdr:cNvPr id="7221" name="List Box 53" hidden="1">
              <a:extLst>
                <a:ext uri="{63B3BB69-23CF-44E3-9099-C40C66FF867C}">
                  <a14:compatExt spid="_x0000_s7221"/>
                </a:ext>
                <a:ext uri="{FF2B5EF4-FFF2-40B4-BE49-F238E27FC236}">
                  <a16:creationId xmlns:a16="http://schemas.microsoft.com/office/drawing/2014/main" id="{00000000-0008-0000-0500-00003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47625</xdr:rowOff>
        </xdr:from>
        <xdr:to>
          <xdr:col>1</xdr:col>
          <xdr:colOff>3771900</xdr:colOff>
          <xdr:row>98</xdr:row>
          <xdr:rowOff>733425</xdr:rowOff>
        </xdr:to>
        <xdr:sp macro="" textlink="">
          <xdr:nvSpPr>
            <xdr:cNvPr id="7222" name="List Box 54" hidden="1">
              <a:extLst>
                <a:ext uri="{63B3BB69-23CF-44E3-9099-C40C66FF867C}">
                  <a14:compatExt spid="_x0000_s7222"/>
                </a:ext>
                <a:ext uri="{FF2B5EF4-FFF2-40B4-BE49-F238E27FC236}">
                  <a16:creationId xmlns:a16="http://schemas.microsoft.com/office/drawing/2014/main" id="{00000000-0008-0000-0500-00003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100</xdr:row>
          <xdr:rowOff>57150</xdr:rowOff>
        </xdr:from>
        <xdr:to>
          <xdr:col>1</xdr:col>
          <xdr:colOff>3829050</xdr:colOff>
          <xdr:row>100</xdr:row>
          <xdr:rowOff>742950</xdr:rowOff>
        </xdr:to>
        <xdr:sp macro="" textlink="">
          <xdr:nvSpPr>
            <xdr:cNvPr id="7223" name="List Box 55" hidden="1">
              <a:extLst>
                <a:ext uri="{63B3BB69-23CF-44E3-9099-C40C66FF867C}">
                  <a14:compatExt spid="_x0000_s7223"/>
                </a:ext>
                <a:ext uri="{FF2B5EF4-FFF2-40B4-BE49-F238E27FC236}">
                  <a16:creationId xmlns:a16="http://schemas.microsoft.com/office/drawing/2014/main" id="{00000000-0008-0000-0500-00003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523875</xdr:colOff>
          <xdr:row>14</xdr:row>
          <xdr:rowOff>133350</xdr:rowOff>
        </xdr:from>
        <xdr:to>
          <xdr:col>2</xdr:col>
          <xdr:colOff>838200</xdr:colOff>
          <xdr:row>14</xdr:row>
          <xdr:rowOff>523875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6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504825</xdr:colOff>
          <xdr:row>14</xdr:row>
          <xdr:rowOff>638175</xdr:rowOff>
        </xdr:from>
        <xdr:to>
          <xdr:col>2</xdr:col>
          <xdr:colOff>809625</xdr:colOff>
          <xdr:row>16</xdr:row>
          <xdr:rowOff>28575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6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18</xdr:row>
          <xdr:rowOff>276225</xdr:rowOff>
        </xdr:from>
        <xdr:to>
          <xdr:col>2</xdr:col>
          <xdr:colOff>1381125</xdr:colOff>
          <xdr:row>18</xdr:row>
          <xdr:rowOff>495300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6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21</xdr:row>
          <xdr:rowOff>276225</xdr:rowOff>
        </xdr:from>
        <xdr:to>
          <xdr:col>2</xdr:col>
          <xdr:colOff>981075</xdr:colOff>
          <xdr:row>21</xdr:row>
          <xdr:rowOff>638175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6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836544</xdr:colOff>
      <xdr:row>28</xdr:row>
      <xdr:rowOff>129851</xdr:rowOff>
    </xdr:from>
    <xdr:to>
      <xdr:col>1</xdr:col>
      <xdr:colOff>3774544</xdr:colOff>
      <xdr:row>28</xdr:row>
      <xdr:rowOff>852422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9457" y="9895047"/>
          <a:ext cx="2938000" cy="7225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561975</xdr:colOff>
          <xdr:row>23</xdr:row>
          <xdr:rowOff>542925</xdr:rowOff>
        </xdr:from>
        <xdr:to>
          <xdr:col>2</xdr:col>
          <xdr:colOff>1428750</xdr:colOff>
          <xdr:row>25</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6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561975</xdr:colOff>
          <xdr:row>24</xdr:row>
          <xdr:rowOff>180975</xdr:rowOff>
        </xdr:from>
        <xdr:to>
          <xdr:col>2</xdr:col>
          <xdr:colOff>1428750</xdr:colOff>
          <xdr:row>26</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6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4</xdr:row>
          <xdr:rowOff>180975</xdr:rowOff>
        </xdr:from>
        <xdr:to>
          <xdr:col>2</xdr:col>
          <xdr:colOff>1381125</xdr:colOff>
          <xdr:row>4</xdr:row>
          <xdr:rowOff>400050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6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31</xdr:row>
          <xdr:rowOff>561975</xdr:rowOff>
        </xdr:from>
        <xdr:to>
          <xdr:col>2</xdr:col>
          <xdr:colOff>1400175</xdr:colOff>
          <xdr:row>33</xdr:row>
          <xdr:rowOff>28575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6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33</xdr:row>
          <xdr:rowOff>142875</xdr:rowOff>
        </xdr:from>
        <xdr:to>
          <xdr:col>2</xdr:col>
          <xdr:colOff>1400175</xdr:colOff>
          <xdr:row>35</xdr:row>
          <xdr:rowOff>19050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6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34</xdr:row>
          <xdr:rowOff>171450</xdr:rowOff>
        </xdr:from>
        <xdr:to>
          <xdr:col>2</xdr:col>
          <xdr:colOff>1409700</xdr:colOff>
          <xdr:row>36</xdr:row>
          <xdr:rowOff>19050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6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35</xdr:row>
          <xdr:rowOff>180975</xdr:rowOff>
        </xdr:from>
        <xdr:to>
          <xdr:col>2</xdr:col>
          <xdr:colOff>1419225</xdr:colOff>
          <xdr:row>37</xdr:row>
          <xdr:rowOff>28575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6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38</xdr:row>
          <xdr:rowOff>95250</xdr:rowOff>
        </xdr:from>
        <xdr:to>
          <xdr:col>2</xdr:col>
          <xdr:colOff>1400175</xdr:colOff>
          <xdr:row>39</xdr:row>
          <xdr:rowOff>9525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6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39</xdr:row>
          <xdr:rowOff>47625</xdr:rowOff>
        </xdr:from>
        <xdr:to>
          <xdr:col>2</xdr:col>
          <xdr:colOff>1409700</xdr:colOff>
          <xdr:row>39</xdr:row>
          <xdr:rowOff>276225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6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40</xdr:row>
          <xdr:rowOff>161925</xdr:rowOff>
        </xdr:from>
        <xdr:to>
          <xdr:col>2</xdr:col>
          <xdr:colOff>1409700</xdr:colOff>
          <xdr:row>42</xdr:row>
          <xdr:rowOff>9525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6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42</xdr:row>
          <xdr:rowOff>847725</xdr:rowOff>
        </xdr:from>
        <xdr:to>
          <xdr:col>2</xdr:col>
          <xdr:colOff>981075</xdr:colOff>
          <xdr:row>42</xdr:row>
          <xdr:rowOff>1371600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6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44</xdr:row>
          <xdr:rowOff>352425</xdr:rowOff>
        </xdr:from>
        <xdr:to>
          <xdr:col>2</xdr:col>
          <xdr:colOff>1409700</xdr:colOff>
          <xdr:row>46</xdr:row>
          <xdr:rowOff>19050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6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45</xdr:row>
          <xdr:rowOff>171450</xdr:rowOff>
        </xdr:from>
        <xdr:to>
          <xdr:col>2</xdr:col>
          <xdr:colOff>1419225</xdr:colOff>
          <xdr:row>47</xdr:row>
          <xdr:rowOff>19050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6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552450</xdr:colOff>
          <xdr:row>46</xdr:row>
          <xdr:rowOff>171450</xdr:rowOff>
        </xdr:from>
        <xdr:to>
          <xdr:col>2</xdr:col>
          <xdr:colOff>1419225</xdr:colOff>
          <xdr:row>48</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6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49</xdr:row>
          <xdr:rowOff>85725</xdr:rowOff>
        </xdr:from>
        <xdr:to>
          <xdr:col>2</xdr:col>
          <xdr:colOff>1400175</xdr:colOff>
          <xdr:row>50</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6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53</xdr:row>
          <xdr:rowOff>85725</xdr:rowOff>
        </xdr:from>
        <xdr:to>
          <xdr:col>2</xdr:col>
          <xdr:colOff>952500</xdr:colOff>
          <xdr:row>54</xdr:row>
          <xdr:rowOff>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6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54</xdr:row>
          <xdr:rowOff>85725</xdr:rowOff>
        </xdr:from>
        <xdr:to>
          <xdr:col>2</xdr:col>
          <xdr:colOff>1400175</xdr:colOff>
          <xdr:row>54</xdr:row>
          <xdr:rowOff>314325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6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523875</xdr:colOff>
          <xdr:row>56</xdr:row>
          <xdr:rowOff>66675</xdr:rowOff>
        </xdr:from>
        <xdr:to>
          <xdr:col>2</xdr:col>
          <xdr:colOff>904875</xdr:colOff>
          <xdr:row>56</xdr:row>
          <xdr:rowOff>371475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1126122</xdr:colOff>
      <xdr:row>71</xdr:row>
      <xdr:rowOff>39219</xdr:rowOff>
    </xdr:from>
    <xdr:to>
      <xdr:col>1</xdr:col>
      <xdr:colOff>3372972</xdr:colOff>
      <xdr:row>71</xdr:row>
      <xdr:rowOff>1640898</xdr:rowOff>
    </xdr:to>
    <xdr:pic>
      <xdr:nvPicPr>
        <xdr:cNvPr id="29" name="Picture 28">
          <a:extLst>
            <a:ext uri="{FF2B5EF4-FFF2-40B4-BE49-F238E27FC236}">
              <a16:creationId xmlns:a16="http://schemas.microsoft.com/office/drawing/2014/main" id="{00000000-0008-0000-0600-00001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31240" y="20232219"/>
          <a:ext cx="2246850" cy="1601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3390900</xdr:colOff>
          <xdr:row>72</xdr:row>
          <xdr:rowOff>247650</xdr:rowOff>
        </xdr:from>
        <xdr:to>
          <xdr:col>1</xdr:col>
          <xdr:colOff>4657725</xdr:colOff>
          <xdr:row>72</xdr:row>
          <xdr:rowOff>752475</xdr:rowOff>
        </xdr:to>
        <xdr:sp macro="" textlink="">
          <xdr:nvSpPr>
            <xdr:cNvPr id="10270" name="List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3419475</xdr:colOff>
          <xdr:row>74</xdr:row>
          <xdr:rowOff>247650</xdr:rowOff>
        </xdr:from>
        <xdr:to>
          <xdr:col>1</xdr:col>
          <xdr:colOff>4686300</xdr:colOff>
          <xdr:row>75</xdr:row>
          <xdr:rowOff>0</xdr:rowOff>
        </xdr:to>
        <xdr:sp macro="" textlink="">
          <xdr:nvSpPr>
            <xdr:cNvPr id="10271" name="List Box 31" hidden="1">
              <a:extLst>
                <a:ext uri="{63B3BB69-23CF-44E3-9099-C40C66FF867C}">
                  <a14:compatExt spid="_x0000_s10271"/>
                </a:ext>
                <a:ext uri="{FF2B5EF4-FFF2-40B4-BE49-F238E27FC236}">
                  <a16:creationId xmlns:a16="http://schemas.microsoft.com/office/drawing/2014/main" id="{00000000-0008-0000-0600-00001F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82</xdr:row>
          <xdr:rowOff>266700</xdr:rowOff>
        </xdr:from>
        <xdr:to>
          <xdr:col>1</xdr:col>
          <xdr:colOff>4667250</xdr:colOff>
          <xdr:row>83</xdr:row>
          <xdr:rowOff>0</xdr:rowOff>
        </xdr:to>
        <xdr:sp macro="" textlink="">
          <xdr:nvSpPr>
            <xdr:cNvPr id="10272" name="List Box 32" hidden="1">
              <a:extLst>
                <a:ext uri="{63B3BB69-23CF-44E3-9099-C40C66FF867C}">
                  <a14:compatExt spid="_x0000_s10272"/>
                </a:ext>
                <a:ext uri="{FF2B5EF4-FFF2-40B4-BE49-F238E27FC236}">
                  <a16:creationId xmlns:a16="http://schemas.microsoft.com/office/drawing/2014/main" id="{00000000-0008-0000-0600-000020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3419475</xdr:colOff>
          <xdr:row>76</xdr:row>
          <xdr:rowOff>266700</xdr:rowOff>
        </xdr:from>
        <xdr:to>
          <xdr:col>1</xdr:col>
          <xdr:colOff>4686300</xdr:colOff>
          <xdr:row>77</xdr:row>
          <xdr:rowOff>0</xdr:rowOff>
        </xdr:to>
        <xdr:sp macro="" textlink="">
          <xdr:nvSpPr>
            <xdr:cNvPr id="10273" name="List Box 33" hidden="1">
              <a:extLst>
                <a:ext uri="{63B3BB69-23CF-44E3-9099-C40C66FF867C}">
                  <a14:compatExt spid="_x0000_s10273"/>
                </a:ext>
                <a:ext uri="{FF2B5EF4-FFF2-40B4-BE49-F238E27FC236}">
                  <a16:creationId xmlns:a16="http://schemas.microsoft.com/office/drawing/2014/main" id="{00000000-0008-0000-0600-00002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3409950</xdr:colOff>
          <xdr:row>78</xdr:row>
          <xdr:rowOff>276225</xdr:rowOff>
        </xdr:from>
        <xdr:to>
          <xdr:col>1</xdr:col>
          <xdr:colOff>4667250</xdr:colOff>
          <xdr:row>79</xdr:row>
          <xdr:rowOff>0</xdr:rowOff>
        </xdr:to>
        <xdr:sp macro="" textlink="">
          <xdr:nvSpPr>
            <xdr:cNvPr id="10274" name="List Box 34" hidden="1">
              <a:extLst>
                <a:ext uri="{63B3BB69-23CF-44E3-9099-C40C66FF867C}">
                  <a14:compatExt spid="_x0000_s10274"/>
                </a:ext>
                <a:ext uri="{FF2B5EF4-FFF2-40B4-BE49-F238E27FC236}">
                  <a16:creationId xmlns:a16="http://schemas.microsoft.com/office/drawing/2014/main" id="{00000000-0008-0000-0600-00002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3429000</xdr:colOff>
          <xdr:row>80</xdr:row>
          <xdr:rowOff>247650</xdr:rowOff>
        </xdr:from>
        <xdr:to>
          <xdr:col>1</xdr:col>
          <xdr:colOff>4686300</xdr:colOff>
          <xdr:row>81</xdr:row>
          <xdr:rowOff>0</xdr:rowOff>
        </xdr:to>
        <xdr:sp macro="" textlink="">
          <xdr:nvSpPr>
            <xdr:cNvPr id="10275" name="List Box 35" hidden="1">
              <a:extLst>
                <a:ext uri="{63B3BB69-23CF-44E3-9099-C40C66FF867C}">
                  <a14:compatExt spid="_x0000_s10275"/>
                </a:ext>
                <a:ext uri="{FF2B5EF4-FFF2-40B4-BE49-F238E27FC236}">
                  <a16:creationId xmlns:a16="http://schemas.microsoft.com/office/drawing/2014/main" id="{00000000-0008-0000-0600-00002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59</xdr:row>
          <xdr:rowOff>47625</xdr:rowOff>
        </xdr:from>
        <xdr:to>
          <xdr:col>2</xdr:col>
          <xdr:colOff>914400</xdr:colOff>
          <xdr:row>59</xdr:row>
          <xdr:rowOff>352425</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6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61</xdr:row>
          <xdr:rowOff>257175</xdr:rowOff>
        </xdr:from>
        <xdr:to>
          <xdr:col>1</xdr:col>
          <xdr:colOff>4667250</xdr:colOff>
          <xdr:row>61</xdr:row>
          <xdr:rowOff>676275</xdr:rowOff>
        </xdr:to>
        <xdr:sp macro="" textlink="">
          <xdr:nvSpPr>
            <xdr:cNvPr id="10278" name="List Box 38" hidden="1">
              <a:extLst>
                <a:ext uri="{63B3BB69-23CF-44E3-9099-C40C66FF867C}">
                  <a14:compatExt spid="_x0000_s10278"/>
                </a:ext>
                <a:ext uri="{FF2B5EF4-FFF2-40B4-BE49-F238E27FC236}">
                  <a16:creationId xmlns:a16="http://schemas.microsoft.com/office/drawing/2014/main" id="{00000000-0008-0000-0600-000026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63</xdr:row>
          <xdr:rowOff>257175</xdr:rowOff>
        </xdr:from>
        <xdr:to>
          <xdr:col>1</xdr:col>
          <xdr:colOff>4667250</xdr:colOff>
          <xdr:row>63</xdr:row>
          <xdr:rowOff>676275</xdr:rowOff>
        </xdr:to>
        <xdr:sp macro="" textlink="">
          <xdr:nvSpPr>
            <xdr:cNvPr id="10279" name="List Box 39" hidden="1">
              <a:extLst>
                <a:ext uri="{63B3BB69-23CF-44E3-9099-C40C66FF867C}">
                  <a14:compatExt spid="_x0000_s10279"/>
                </a:ext>
                <a:ext uri="{FF2B5EF4-FFF2-40B4-BE49-F238E27FC236}">
                  <a16:creationId xmlns:a16="http://schemas.microsoft.com/office/drawing/2014/main" id="{00000000-0008-0000-0600-000027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65</xdr:row>
          <xdr:rowOff>257175</xdr:rowOff>
        </xdr:from>
        <xdr:to>
          <xdr:col>1</xdr:col>
          <xdr:colOff>4667250</xdr:colOff>
          <xdr:row>65</xdr:row>
          <xdr:rowOff>676275</xdr:rowOff>
        </xdr:to>
        <xdr:sp macro="" textlink="">
          <xdr:nvSpPr>
            <xdr:cNvPr id="10280" name="List Box 40" hidden="1">
              <a:extLst>
                <a:ext uri="{63B3BB69-23CF-44E3-9099-C40C66FF867C}">
                  <a14:compatExt spid="_x0000_s10280"/>
                </a:ext>
                <a:ext uri="{FF2B5EF4-FFF2-40B4-BE49-F238E27FC236}">
                  <a16:creationId xmlns:a16="http://schemas.microsoft.com/office/drawing/2014/main" id="{00000000-0008-0000-0600-000028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3400425</xdr:colOff>
          <xdr:row>67</xdr:row>
          <xdr:rowOff>257175</xdr:rowOff>
        </xdr:from>
        <xdr:to>
          <xdr:col>1</xdr:col>
          <xdr:colOff>4667250</xdr:colOff>
          <xdr:row>67</xdr:row>
          <xdr:rowOff>676275</xdr:rowOff>
        </xdr:to>
        <xdr:sp macro="" textlink="">
          <xdr:nvSpPr>
            <xdr:cNvPr id="10282" name="List Box 42" hidden="1">
              <a:extLst>
                <a:ext uri="{63B3BB69-23CF-44E3-9099-C40C66FF867C}">
                  <a14:compatExt spid="_x0000_s10282"/>
                </a:ext>
                <a:ext uri="{FF2B5EF4-FFF2-40B4-BE49-F238E27FC236}">
                  <a16:creationId xmlns:a16="http://schemas.microsoft.com/office/drawing/2014/main" id="{00000000-0008-0000-0600-00002A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3.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18" Type="http://schemas.openxmlformats.org/officeDocument/2006/relationships/ctrlProp" Target="../ctrlProps/ctrlProp75.xml"/><Relationship Id="rId3" Type="http://schemas.openxmlformats.org/officeDocument/2006/relationships/vmlDrawing" Target="../drawings/vmlDrawing4.vml"/><Relationship Id="rId21" Type="http://schemas.openxmlformats.org/officeDocument/2006/relationships/ctrlProp" Target="../ctrlProps/ctrlProp78.xml"/><Relationship Id="rId7" Type="http://schemas.openxmlformats.org/officeDocument/2006/relationships/ctrlProp" Target="../ctrlProps/ctrlProp64.xml"/><Relationship Id="rId12" Type="http://schemas.openxmlformats.org/officeDocument/2006/relationships/ctrlProp" Target="../ctrlProps/ctrlProp69.xml"/><Relationship Id="rId17" Type="http://schemas.openxmlformats.org/officeDocument/2006/relationships/ctrlProp" Target="../ctrlProps/ctrlProp74.xml"/><Relationship Id="rId2" Type="http://schemas.openxmlformats.org/officeDocument/2006/relationships/drawing" Target="../drawings/drawing3.xml"/><Relationship Id="rId16" Type="http://schemas.openxmlformats.org/officeDocument/2006/relationships/ctrlProp" Target="../ctrlProps/ctrlProp73.xml"/><Relationship Id="rId20" Type="http://schemas.openxmlformats.org/officeDocument/2006/relationships/ctrlProp" Target="../ctrlProps/ctrlProp77.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10" Type="http://schemas.openxmlformats.org/officeDocument/2006/relationships/ctrlProp" Target="../ctrlProps/ctrlProp67.xml"/><Relationship Id="rId19" Type="http://schemas.openxmlformats.org/officeDocument/2006/relationships/ctrlProp" Target="../ctrlProps/ctrlProp76.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9" Type="http://schemas.openxmlformats.org/officeDocument/2006/relationships/ctrlProp" Target="../ctrlProps/ctrlProp117.xml"/><Relationship Id="rId21" Type="http://schemas.openxmlformats.org/officeDocument/2006/relationships/ctrlProp" Target="../ctrlProps/ctrlProp99.xml"/><Relationship Id="rId34" Type="http://schemas.openxmlformats.org/officeDocument/2006/relationships/ctrlProp" Target="../ctrlProps/ctrlProp112.xml"/><Relationship Id="rId42" Type="http://schemas.openxmlformats.org/officeDocument/2006/relationships/ctrlProp" Target="../ctrlProps/ctrlProp120.xml"/><Relationship Id="rId47" Type="http://schemas.openxmlformats.org/officeDocument/2006/relationships/ctrlProp" Target="../ctrlProps/ctrlProp125.xml"/><Relationship Id="rId7" Type="http://schemas.openxmlformats.org/officeDocument/2006/relationships/ctrlProp" Target="../ctrlProps/ctrlProp85.xml"/><Relationship Id="rId2" Type="http://schemas.openxmlformats.org/officeDocument/2006/relationships/drawing" Target="../drawings/drawing4.xml"/><Relationship Id="rId16" Type="http://schemas.openxmlformats.org/officeDocument/2006/relationships/ctrlProp" Target="../ctrlProps/ctrlProp94.xml"/><Relationship Id="rId29" Type="http://schemas.openxmlformats.org/officeDocument/2006/relationships/ctrlProp" Target="../ctrlProps/ctrlProp107.xml"/><Relationship Id="rId11" Type="http://schemas.openxmlformats.org/officeDocument/2006/relationships/ctrlProp" Target="../ctrlProps/ctrlProp89.xml"/><Relationship Id="rId24" Type="http://schemas.openxmlformats.org/officeDocument/2006/relationships/ctrlProp" Target="../ctrlProps/ctrlProp102.xml"/><Relationship Id="rId32" Type="http://schemas.openxmlformats.org/officeDocument/2006/relationships/ctrlProp" Target="../ctrlProps/ctrlProp110.xml"/><Relationship Id="rId37" Type="http://schemas.openxmlformats.org/officeDocument/2006/relationships/ctrlProp" Target="../ctrlProps/ctrlProp115.xml"/><Relationship Id="rId40" Type="http://schemas.openxmlformats.org/officeDocument/2006/relationships/ctrlProp" Target="../ctrlProps/ctrlProp118.xml"/><Relationship Id="rId45" Type="http://schemas.openxmlformats.org/officeDocument/2006/relationships/ctrlProp" Target="../ctrlProps/ctrlProp123.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36" Type="http://schemas.openxmlformats.org/officeDocument/2006/relationships/ctrlProp" Target="../ctrlProps/ctrlProp114.xml"/><Relationship Id="rId49" Type="http://schemas.openxmlformats.org/officeDocument/2006/relationships/ctrlProp" Target="../ctrlProps/ctrlProp127.xml"/><Relationship Id="rId10" Type="http://schemas.openxmlformats.org/officeDocument/2006/relationships/ctrlProp" Target="../ctrlProps/ctrlProp88.xml"/><Relationship Id="rId19" Type="http://schemas.openxmlformats.org/officeDocument/2006/relationships/ctrlProp" Target="../ctrlProps/ctrlProp97.xml"/><Relationship Id="rId31" Type="http://schemas.openxmlformats.org/officeDocument/2006/relationships/ctrlProp" Target="../ctrlProps/ctrlProp109.xml"/><Relationship Id="rId44" Type="http://schemas.openxmlformats.org/officeDocument/2006/relationships/ctrlProp" Target="../ctrlProps/ctrlProp122.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 Id="rId30" Type="http://schemas.openxmlformats.org/officeDocument/2006/relationships/ctrlProp" Target="../ctrlProps/ctrlProp108.xml"/><Relationship Id="rId35" Type="http://schemas.openxmlformats.org/officeDocument/2006/relationships/ctrlProp" Target="../ctrlProps/ctrlProp113.xml"/><Relationship Id="rId43" Type="http://schemas.openxmlformats.org/officeDocument/2006/relationships/ctrlProp" Target="../ctrlProps/ctrlProp121.xml"/><Relationship Id="rId48" Type="http://schemas.openxmlformats.org/officeDocument/2006/relationships/ctrlProp" Target="../ctrlProps/ctrlProp126.xml"/><Relationship Id="rId8" Type="http://schemas.openxmlformats.org/officeDocument/2006/relationships/ctrlProp" Target="../ctrlProps/ctrlProp86.xml"/><Relationship Id="rId3" Type="http://schemas.openxmlformats.org/officeDocument/2006/relationships/vmlDrawing" Target="../drawings/vmlDrawing5.v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33" Type="http://schemas.openxmlformats.org/officeDocument/2006/relationships/ctrlProp" Target="../ctrlProps/ctrlProp111.xml"/><Relationship Id="rId38" Type="http://schemas.openxmlformats.org/officeDocument/2006/relationships/ctrlProp" Target="../ctrlProps/ctrlProp116.xml"/><Relationship Id="rId46" Type="http://schemas.openxmlformats.org/officeDocument/2006/relationships/ctrlProp" Target="../ctrlProps/ctrlProp124.xml"/><Relationship Id="rId20" Type="http://schemas.openxmlformats.org/officeDocument/2006/relationships/ctrlProp" Target="../ctrlProps/ctrlProp98.xml"/><Relationship Id="rId41" Type="http://schemas.openxmlformats.org/officeDocument/2006/relationships/ctrlProp" Target="../ctrlProps/ctrlProp119.xml"/><Relationship Id="rId1" Type="http://schemas.openxmlformats.org/officeDocument/2006/relationships/printerSettings" Target="../printerSettings/printerSettings5.bin"/><Relationship Id="rId6" Type="http://schemas.openxmlformats.org/officeDocument/2006/relationships/ctrlProp" Target="../ctrlProps/ctrlProp84.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7.xml"/><Relationship Id="rId18" Type="http://schemas.openxmlformats.org/officeDocument/2006/relationships/ctrlProp" Target="../ctrlProps/ctrlProp142.xml"/><Relationship Id="rId26" Type="http://schemas.openxmlformats.org/officeDocument/2006/relationships/ctrlProp" Target="../ctrlProps/ctrlProp150.xml"/><Relationship Id="rId3" Type="http://schemas.openxmlformats.org/officeDocument/2006/relationships/vmlDrawing" Target="../drawings/vmlDrawing6.vml"/><Relationship Id="rId21" Type="http://schemas.openxmlformats.org/officeDocument/2006/relationships/ctrlProp" Target="../ctrlProps/ctrlProp145.xml"/><Relationship Id="rId34" Type="http://schemas.openxmlformats.org/officeDocument/2006/relationships/ctrlProp" Target="../ctrlProps/ctrlProp158.xml"/><Relationship Id="rId7" Type="http://schemas.openxmlformats.org/officeDocument/2006/relationships/ctrlProp" Target="../ctrlProps/ctrlProp131.xml"/><Relationship Id="rId12" Type="http://schemas.openxmlformats.org/officeDocument/2006/relationships/ctrlProp" Target="../ctrlProps/ctrlProp136.xml"/><Relationship Id="rId17" Type="http://schemas.openxmlformats.org/officeDocument/2006/relationships/ctrlProp" Target="../ctrlProps/ctrlProp141.xml"/><Relationship Id="rId25" Type="http://schemas.openxmlformats.org/officeDocument/2006/relationships/ctrlProp" Target="../ctrlProps/ctrlProp149.xml"/><Relationship Id="rId33" Type="http://schemas.openxmlformats.org/officeDocument/2006/relationships/ctrlProp" Target="../ctrlProps/ctrlProp157.xml"/><Relationship Id="rId2" Type="http://schemas.openxmlformats.org/officeDocument/2006/relationships/drawing" Target="../drawings/drawing5.xml"/><Relationship Id="rId16" Type="http://schemas.openxmlformats.org/officeDocument/2006/relationships/ctrlProp" Target="../ctrlProps/ctrlProp140.xml"/><Relationship Id="rId20" Type="http://schemas.openxmlformats.org/officeDocument/2006/relationships/ctrlProp" Target="../ctrlProps/ctrlProp144.xml"/><Relationship Id="rId29" Type="http://schemas.openxmlformats.org/officeDocument/2006/relationships/ctrlProp" Target="../ctrlProps/ctrlProp153.xml"/><Relationship Id="rId1" Type="http://schemas.openxmlformats.org/officeDocument/2006/relationships/printerSettings" Target="../printerSettings/printerSettings6.bin"/><Relationship Id="rId6" Type="http://schemas.openxmlformats.org/officeDocument/2006/relationships/ctrlProp" Target="../ctrlProps/ctrlProp130.xml"/><Relationship Id="rId11" Type="http://schemas.openxmlformats.org/officeDocument/2006/relationships/ctrlProp" Target="../ctrlProps/ctrlProp135.xml"/><Relationship Id="rId24" Type="http://schemas.openxmlformats.org/officeDocument/2006/relationships/ctrlProp" Target="../ctrlProps/ctrlProp148.xml"/><Relationship Id="rId32" Type="http://schemas.openxmlformats.org/officeDocument/2006/relationships/ctrlProp" Target="../ctrlProps/ctrlProp156.xml"/><Relationship Id="rId5" Type="http://schemas.openxmlformats.org/officeDocument/2006/relationships/ctrlProp" Target="../ctrlProps/ctrlProp129.xml"/><Relationship Id="rId15" Type="http://schemas.openxmlformats.org/officeDocument/2006/relationships/ctrlProp" Target="../ctrlProps/ctrlProp139.xml"/><Relationship Id="rId23" Type="http://schemas.openxmlformats.org/officeDocument/2006/relationships/ctrlProp" Target="../ctrlProps/ctrlProp147.xml"/><Relationship Id="rId28" Type="http://schemas.openxmlformats.org/officeDocument/2006/relationships/ctrlProp" Target="../ctrlProps/ctrlProp152.xml"/><Relationship Id="rId36" Type="http://schemas.openxmlformats.org/officeDocument/2006/relationships/ctrlProp" Target="../ctrlProps/ctrlProp160.xml"/><Relationship Id="rId10" Type="http://schemas.openxmlformats.org/officeDocument/2006/relationships/ctrlProp" Target="../ctrlProps/ctrlProp134.xml"/><Relationship Id="rId19" Type="http://schemas.openxmlformats.org/officeDocument/2006/relationships/ctrlProp" Target="../ctrlProps/ctrlProp143.xml"/><Relationship Id="rId31" Type="http://schemas.openxmlformats.org/officeDocument/2006/relationships/ctrlProp" Target="../ctrlProps/ctrlProp155.xml"/><Relationship Id="rId4" Type="http://schemas.openxmlformats.org/officeDocument/2006/relationships/ctrlProp" Target="../ctrlProps/ctrlProp128.xml"/><Relationship Id="rId9" Type="http://schemas.openxmlformats.org/officeDocument/2006/relationships/ctrlProp" Target="../ctrlProps/ctrlProp133.xml"/><Relationship Id="rId14" Type="http://schemas.openxmlformats.org/officeDocument/2006/relationships/ctrlProp" Target="../ctrlProps/ctrlProp138.xml"/><Relationship Id="rId22" Type="http://schemas.openxmlformats.org/officeDocument/2006/relationships/ctrlProp" Target="../ctrlProps/ctrlProp146.xml"/><Relationship Id="rId27" Type="http://schemas.openxmlformats.org/officeDocument/2006/relationships/ctrlProp" Target="../ctrlProps/ctrlProp151.xml"/><Relationship Id="rId30" Type="http://schemas.openxmlformats.org/officeDocument/2006/relationships/ctrlProp" Target="../ctrlProps/ctrlProp154.xml"/><Relationship Id="rId35" Type="http://schemas.openxmlformats.org/officeDocument/2006/relationships/ctrlProp" Target="../ctrlProps/ctrlProp159.xml"/><Relationship Id="rId8"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80"/>
  <sheetViews>
    <sheetView tabSelected="1" view="pageBreakPreview" topLeftCell="A8" zoomScale="70" zoomScaleNormal="85" zoomScaleSheetLayoutView="70" workbookViewId="0">
      <selection activeCell="B8" sqref="B8"/>
    </sheetView>
  </sheetViews>
  <sheetFormatPr defaultRowHeight="15" x14ac:dyDescent="0.25"/>
  <cols>
    <col min="1" max="1" width="16.42578125" customWidth="1"/>
    <col min="2" max="2" width="73" customWidth="1"/>
    <col min="3" max="3" width="26.140625" customWidth="1"/>
    <col min="4" max="4" width="21.28515625" customWidth="1"/>
    <col min="5" max="5" width="25.85546875" customWidth="1"/>
    <col min="6" max="6" width="20.140625" customWidth="1"/>
    <col min="7" max="10" width="0" hidden="1" customWidth="1"/>
  </cols>
  <sheetData>
    <row r="1" spans="1:8" s="12" customFormat="1" x14ac:dyDescent="0.25">
      <c r="A1" s="135" t="s">
        <v>0</v>
      </c>
      <c r="B1" s="136"/>
      <c r="C1" s="22"/>
      <c r="D1" s="22"/>
    </row>
    <row r="2" spans="1:8" x14ac:dyDescent="0.25">
      <c r="A2" s="6" t="s">
        <v>254</v>
      </c>
      <c r="B2" s="223"/>
      <c r="C2" s="1"/>
      <c r="D2" s="1"/>
      <c r="E2" s="83" t="s">
        <v>376</v>
      </c>
    </row>
    <row r="3" spans="1:8" x14ac:dyDescent="0.25">
      <c r="A3" s="6" t="s">
        <v>255</v>
      </c>
      <c r="B3" s="223"/>
      <c r="C3" s="1"/>
      <c r="D3" s="1"/>
    </row>
    <row r="4" spans="1:8" x14ac:dyDescent="0.25">
      <c r="A4" s="6" t="s">
        <v>369</v>
      </c>
      <c r="B4" s="223"/>
      <c r="C4" s="1"/>
      <c r="D4" s="1"/>
    </row>
    <row r="5" spans="1:8" ht="17.25" x14ac:dyDescent="0.25">
      <c r="A5" s="6" t="s">
        <v>435</v>
      </c>
      <c r="B5" s="223"/>
      <c r="C5" s="1"/>
      <c r="D5" s="1"/>
    </row>
    <row r="6" spans="1:8" x14ac:dyDescent="0.25">
      <c r="A6" s="2"/>
      <c r="B6" s="2"/>
      <c r="C6" s="1"/>
      <c r="D6" s="1"/>
    </row>
    <row r="7" spans="1:8" x14ac:dyDescent="0.25">
      <c r="A7" s="3" t="s">
        <v>28</v>
      </c>
      <c r="B7" s="3"/>
      <c r="C7" s="175" t="s">
        <v>24</v>
      </c>
      <c r="D7" s="175" t="s">
        <v>25</v>
      </c>
      <c r="E7" s="175" t="s">
        <v>26</v>
      </c>
      <c r="F7" s="175" t="s">
        <v>27</v>
      </c>
    </row>
    <row r="8" spans="1:8" x14ac:dyDescent="0.25">
      <c r="A8" s="5">
        <v>1</v>
      </c>
      <c r="B8" s="6" t="s">
        <v>29</v>
      </c>
      <c r="C8" s="4"/>
      <c r="D8" s="4"/>
      <c r="E8" s="4"/>
      <c r="F8" s="4"/>
    </row>
    <row r="9" spans="1:8" x14ac:dyDescent="0.25">
      <c r="A9" s="5">
        <v>2</v>
      </c>
      <c r="B9" s="6" t="s">
        <v>30</v>
      </c>
      <c r="C9" s="4"/>
      <c r="D9" s="4"/>
      <c r="E9" s="7"/>
      <c r="F9" s="7"/>
      <c r="H9" t="s">
        <v>433</v>
      </c>
    </row>
    <row r="10" spans="1:8" x14ac:dyDescent="0.25">
      <c r="A10" s="5">
        <v>3</v>
      </c>
      <c r="B10" s="6" t="s">
        <v>31</v>
      </c>
      <c r="C10" s="4"/>
      <c r="D10" s="4"/>
      <c r="E10" s="7"/>
      <c r="F10" s="7"/>
      <c r="H10" t="s">
        <v>426</v>
      </c>
    </row>
    <row r="11" spans="1:8" x14ac:dyDescent="0.25">
      <c r="A11" s="5">
        <v>4</v>
      </c>
      <c r="B11" s="6" t="s">
        <v>32</v>
      </c>
      <c r="C11" s="4"/>
      <c r="D11" s="4"/>
      <c r="E11" s="7"/>
      <c r="F11" s="7"/>
      <c r="H11" t="s">
        <v>427</v>
      </c>
    </row>
    <row r="12" spans="1:8" x14ac:dyDescent="0.25">
      <c r="A12" s="5">
        <v>5</v>
      </c>
      <c r="B12" s="6" t="s">
        <v>33</v>
      </c>
      <c r="C12" s="4"/>
      <c r="D12" s="4"/>
      <c r="E12" s="7"/>
      <c r="F12" s="7"/>
      <c r="H12" t="s">
        <v>428</v>
      </c>
    </row>
    <row r="13" spans="1:8" x14ac:dyDescent="0.25">
      <c r="A13" s="5">
        <v>6</v>
      </c>
      <c r="B13" s="6" t="s">
        <v>34</v>
      </c>
      <c r="C13" s="4"/>
      <c r="D13" s="4"/>
      <c r="E13" s="7"/>
      <c r="F13" s="7"/>
      <c r="H13" t="s">
        <v>429</v>
      </c>
    </row>
    <row r="14" spans="1:8" x14ac:dyDescent="0.25">
      <c r="A14" s="5">
        <v>7</v>
      </c>
      <c r="B14" s="6" t="s">
        <v>35</v>
      </c>
      <c r="C14" s="4"/>
      <c r="D14" s="4"/>
      <c r="E14" s="7"/>
      <c r="F14" s="7"/>
      <c r="H14" t="s">
        <v>430</v>
      </c>
    </row>
    <row r="15" spans="1:8" x14ac:dyDescent="0.25">
      <c r="A15" s="5">
        <v>8</v>
      </c>
      <c r="B15" s="6" t="s">
        <v>36</v>
      </c>
      <c r="C15" s="8"/>
      <c r="D15" s="4"/>
      <c r="E15" s="7"/>
      <c r="F15" s="7"/>
      <c r="H15" t="s">
        <v>431</v>
      </c>
    </row>
    <row r="16" spans="1:8" x14ac:dyDescent="0.25">
      <c r="A16" s="5">
        <v>9</v>
      </c>
      <c r="B16" s="6" t="s">
        <v>37</v>
      </c>
      <c r="C16" s="8"/>
      <c r="D16" s="4"/>
      <c r="E16" s="7"/>
      <c r="F16" s="7"/>
      <c r="H16" t="s">
        <v>432</v>
      </c>
    </row>
    <row r="17" spans="1:6" x14ac:dyDescent="0.25">
      <c r="A17" s="5">
        <v>10</v>
      </c>
      <c r="B17" s="6" t="s">
        <v>38</v>
      </c>
      <c r="C17" s="8"/>
      <c r="D17" s="8"/>
      <c r="E17" s="7"/>
      <c r="F17" s="7"/>
    </row>
    <row r="18" spans="1:6" x14ac:dyDescent="0.25">
      <c r="A18" s="5">
        <v>11</v>
      </c>
      <c r="B18" s="6" t="s">
        <v>39</v>
      </c>
      <c r="C18" s="8"/>
      <c r="D18" s="8"/>
      <c r="E18" s="9"/>
      <c r="F18" s="7"/>
    </row>
    <row r="19" spans="1:6" x14ac:dyDescent="0.25">
      <c r="A19" s="2"/>
      <c r="B19" s="2"/>
      <c r="C19" s="1"/>
      <c r="D19" s="1"/>
    </row>
    <row r="20" spans="1:6" x14ac:dyDescent="0.25">
      <c r="A20" s="128" t="s">
        <v>17</v>
      </c>
      <c r="B20" s="129"/>
      <c r="C20" s="128" t="s">
        <v>1</v>
      </c>
      <c r="D20" s="128" t="s">
        <v>2</v>
      </c>
    </row>
    <row r="21" spans="1:6" x14ac:dyDescent="0.25">
      <c r="A21" s="11">
        <v>1</v>
      </c>
      <c r="B21" s="4" t="s">
        <v>16</v>
      </c>
      <c r="C21" s="11">
        <v>35</v>
      </c>
      <c r="D21" s="11">
        <f>D41</f>
        <v>0</v>
      </c>
    </row>
    <row r="22" spans="1:6" x14ac:dyDescent="0.25">
      <c r="A22" s="11">
        <v>2</v>
      </c>
      <c r="B22" s="4" t="s">
        <v>18</v>
      </c>
      <c r="C22" s="11">
        <v>40</v>
      </c>
      <c r="D22" s="11">
        <f>D52</f>
        <v>0</v>
      </c>
    </row>
    <row r="23" spans="1:6" x14ac:dyDescent="0.25">
      <c r="A23" s="11">
        <v>3</v>
      </c>
      <c r="B23" s="4" t="s">
        <v>75</v>
      </c>
      <c r="C23" s="11">
        <v>30</v>
      </c>
      <c r="D23" s="11">
        <f>D65</f>
        <v>0</v>
      </c>
    </row>
    <row r="24" spans="1:6" x14ac:dyDescent="0.25">
      <c r="A24" s="11">
        <v>4</v>
      </c>
      <c r="B24" s="4" t="s">
        <v>76</v>
      </c>
      <c r="C24" s="11">
        <v>40</v>
      </c>
      <c r="D24" s="11">
        <f>D77</f>
        <v>0</v>
      </c>
    </row>
    <row r="25" spans="1:6" x14ac:dyDescent="0.25">
      <c r="A25" s="11">
        <v>5</v>
      </c>
      <c r="B25" s="4" t="s">
        <v>73</v>
      </c>
      <c r="C25" s="11">
        <v>20</v>
      </c>
      <c r="D25" s="11">
        <f>D80</f>
        <v>2</v>
      </c>
    </row>
    <row r="26" spans="1:6" x14ac:dyDescent="0.25">
      <c r="A26" s="11"/>
      <c r="B26" s="130" t="s">
        <v>77</v>
      </c>
      <c r="C26" s="131">
        <v>165</v>
      </c>
      <c r="D26" s="131">
        <f>SUM(D21:D25)</f>
        <v>2</v>
      </c>
    </row>
    <row r="27" spans="1:6" x14ac:dyDescent="0.25">
      <c r="A27" s="1"/>
      <c r="B27" s="21"/>
      <c r="C27" s="10"/>
      <c r="D27" s="10"/>
    </row>
    <row r="28" spans="1:6" x14ac:dyDescent="0.25">
      <c r="A28" s="1"/>
      <c r="B28" s="1"/>
      <c r="C28" s="15"/>
      <c r="D28" s="16"/>
    </row>
    <row r="29" spans="1:6" x14ac:dyDescent="0.25">
      <c r="A29" s="108" t="s">
        <v>68</v>
      </c>
      <c r="B29" s="17"/>
      <c r="C29" s="114" t="s">
        <v>1</v>
      </c>
      <c r="D29" s="115" t="s">
        <v>2</v>
      </c>
    </row>
    <row r="30" spans="1:6" ht="16.5" customHeight="1" x14ac:dyDescent="0.25">
      <c r="A30" s="18">
        <v>1.1000000000000001</v>
      </c>
      <c r="B30" s="19" t="s">
        <v>3</v>
      </c>
      <c r="C30" s="113">
        <v>1</v>
      </c>
      <c r="D30" s="113">
        <f>'Section 1'!E8</f>
        <v>0</v>
      </c>
    </row>
    <row r="31" spans="1:6" x14ac:dyDescent="0.25">
      <c r="A31" s="18">
        <v>1.2</v>
      </c>
      <c r="B31" s="19" t="s">
        <v>5</v>
      </c>
      <c r="C31" s="113">
        <v>4</v>
      </c>
      <c r="D31" s="113">
        <f>'Section 1'!E13</f>
        <v>0</v>
      </c>
    </row>
    <row r="32" spans="1:6" x14ac:dyDescent="0.25">
      <c r="A32" s="18">
        <v>1.3</v>
      </c>
      <c r="B32" s="19" t="s">
        <v>6</v>
      </c>
      <c r="C32" s="113">
        <v>2</v>
      </c>
      <c r="D32" s="113">
        <f>'Section 1'!E19</f>
        <v>0</v>
      </c>
    </row>
    <row r="33" spans="1:4" x14ac:dyDescent="0.25">
      <c r="A33" s="18">
        <v>1.4</v>
      </c>
      <c r="B33" s="19" t="s">
        <v>13</v>
      </c>
      <c r="C33" s="113">
        <v>2</v>
      </c>
      <c r="D33" s="113">
        <f>'Section 1'!E23</f>
        <v>0</v>
      </c>
    </row>
    <row r="34" spans="1:4" x14ac:dyDescent="0.25">
      <c r="A34" s="18">
        <v>1.5</v>
      </c>
      <c r="B34" s="19" t="s">
        <v>7</v>
      </c>
      <c r="C34" s="113">
        <v>1</v>
      </c>
      <c r="D34" s="113">
        <f>'Section 1'!E27</f>
        <v>0</v>
      </c>
    </row>
    <row r="35" spans="1:4" x14ac:dyDescent="0.25">
      <c r="A35" s="18">
        <v>1.6</v>
      </c>
      <c r="B35" s="19" t="s">
        <v>8</v>
      </c>
      <c r="C35" s="113">
        <v>2</v>
      </c>
      <c r="D35" s="113">
        <f>'Section 1'!E29</f>
        <v>0</v>
      </c>
    </row>
    <row r="36" spans="1:4" x14ac:dyDescent="0.25">
      <c r="A36" s="18">
        <v>1.7</v>
      </c>
      <c r="B36" s="19" t="s">
        <v>9</v>
      </c>
      <c r="C36" s="113">
        <v>3</v>
      </c>
      <c r="D36" s="113">
        <f>'Section 1'!E34</f>
        <v>0</v>
      </c>
    </row>
    <row r="37" spans="1:4" x14ac:dyDescent="0.25">
      <c r="A37" s="18">
        <v>1.8</v>
      </c>
      <c r="B37" s="19" t="s">
        <v>10</v>
      </c>
      <c r="C37" s="113">
        <v>6</v>
      </c>
      <c r="D37" s="113">
        <f>'Section 1'!E38+'Section 1'!E41+'Section 1'!E45+'Section 1'!E49</f>
        <v>0</v>
      </c>
    </row>
    <row r="38" spans="1:4" x14ac:dyDescent="0.25">
      <c r="A38" s="18">
        <v>1.9</v>
      </c>
      <c r="B38" s="19" t="s">
        <v>11</v>
      </c>
      <c r="C38" s="113">
        <v>4</v>
      </c>
      <c r="D38" s="113">
        <f>'Section 1'!E58+'Section 1'!E63+'Section 1'!E66</f>
        <v>0</v>
      </c>
    </row>
    <row r="39" spans="1:4" x14ac:dyDescent="0.25">
      <c r="A39" s="18" t="s">
        <v>4</v>
      </c>
      <c r="B39" s="19" t="s">
        <v>12</v>
      </c>
      <c r="C39" s="113">
        <v>4</v>
      </c>
      <c r="D39" s="113">
        <f>'Section 1'!E70+'Section 1'!E71+'Section 1'!E72+'Section 1'!E78</f>
        <v>0</v>
      </c>
    </row>
    <row r="40" spans="1:4" x14ac:dyDescent="0.25">
      <c r="A40" s="18">
        <v>1.1100000000000001</v>
      </c>
      <c r="B40" s="19" t="s">
        <v>14</v>
      </c>
      <c r="C40" s="113">
        <v>6</v>
      </c>
      <c r="D40" s="113">
        <f>'Section 1'!E84+'Section 1'!E85+'Section 1'!E90+'Section 1'!E96</f>
        <v>0</v>
      </c>
    </row>
    <row r="41" spans="1:4" x14ac:dyDescent="0.25">
      <c r="A41" s="17"/>
      <c r="B41" s="118" t="s">
        <v>15</v>
      </c>
      <c r="C41" s="116">
        <v>35</v>
      </c>
      <c r="D41" s="116">
        <f>SUM(D30:D40)</f>
        <v>0</v>
      </c>
    </row>
    <row r="42" spans="1:4" x14ac:dyDescent="0.25">
      <c r="A42" s="119" t="s">
        <v>69</v>
      </c>
      <c r="B42" s="111"/>
      <c r="C42" s="110"/>
      <c r="D42" s="110"/>
    </row>
    <row r="43" spans="1:4" x14ac:dyDescent="0.25">
      <c r="A43" s="112">
        <v>2.1</v>
      </c>
      <c r="B43" s="111" t="s">
        <v>19</v>
      </c>
      <c r="C43" s="109">
        <v>2</v>
      </c>
      <c r="D43" s="109">
        <f>'Section 2'!E10</f>
        <v>0</v>
      </c>
    </row>
    <row r="44" spans="1:4" x14ac:dyDescent="0.25">
      <c r="A44" s="112">
        <v>2.2000000000000002</v>
      </c>
      <c r="B44" s="111" t="s">
        <v>20</v>
      </c>
      <c r="C44" s="109">
        <v>16</v>
      </c>
      <c r="D44" s="109">
        <f>'Section 2'!E16+'Section 2'!E23</f>
        <v>0</v>
      </c>
    </row>
    <row r="45" spans="1:4" x14ac:dyDescent="0.25">
      <c r="A45" s="112">
        <v>2.2999999999999998</v>
      </c>
      <c r="B45" s="111" t="s">
        <v>21</v>
      </c>
      <c r="C45" s="109">
        <v>17</v>
      </c>
      <c r="D45" s="109">
        <f>'Section 2'!E30</f>
        <v>0</v>
      </c>
    </row>
    <row r="46" spans="1:4" x14ac:dyDescent="0.25">
      <c r="A46" s="112">
        <v>2.4</v>
      </c>
      <c r="B46" s="111" t="s">
        <v>22</v>
      </c>
      <c r="C46" s="109">
        <v>6</v>
      </c>
      <c r="D46" s="109">
        <f>'Section 2'!E44</f>
        <v>0</v>
      </c>
    </row>
    <row r="47" spans="1:4" x14ac:dyDescent="0.25">
      <c r="A47" s="112">
        <v>2.5</v>
      </c>
      <c r="B47" s="111" t="s">
        <v>40</v>
      </c>
      <c r="C47" s="109">
        <v>1.5</v>
      </c>
      <c r="D47" s="109">
        <f>'Section 2'!E48</f>
        <v>0</v>
      </c>
    </row>
    <row r="48" spans="1:4" x14ac:dyDescent="0.25">
      <c r="A48" s="112">
        <v>2.6</v>
      </c>
      <c r="B48" s="111" t="s">
        <v>41</v>
      </c>
      <c r="C48" s="109">
        <v>2</v>
      </c>
      <c r="D48" s="109">
        <f>'Section 2'!E51</f>
        <v>0</v>
      </c>
    </row>
    <row r="49" spans="1:4" x14ac:dyDescent="0.25">
      <c r="A49" s="112">
        <v>2.7</v>
      </c>
      <c r="B49" s="111" t="s">
        <v>42</v>
      </c>
      <c r="C49" s="109">
        <v>3</v>
      </c>
      <c r="D49" s="109">
        <f>'Section 2'!E59</f>
        <v>0</v>
      </c>
    </row>
    <row r="50" spans="1:4" x14ac:dyDescent="0.25">
      <c r="A50" s="112">
        <v>2.8</v>
      </c>
      <c r="B50" s="111" t="s">
        <v>43</v>
      </c>
      <c r="C50" s="109">
        <v>2</v>
      </c>
      <c r="D50" s="109">
        <f>'Section 2'!E66</f>
        <v>0</v>
      </c>
    </row>
    <row r="51" spans="1:4" x14ac:dyDescent="0.25">
      <c r="A51" s="112">
        <v>2.9</v>
      </c>
      <c r="B51" s="111" t="s">
        <v>44</v>
      </c>
      <c r="C51" s="109">
        <v>6.5</v>
      </c>
      <c r="D51" s="109">
        <f>'Section 2'!E70+'Section 2'!E72+'Section 2'!E77</f>
        <v>0</v>
      </c>
    </row>
    <row r="52" spans="1:4" x14ac:dyDescent="0.25">
      <c r="A52" s="111"/>
      <c r="B52" s="119" t="s">
        <v>23</v>
      </c>
      <c r="C52" s="117">
        <v>40</v>
      </c>
      <c r="D52" s="117">
        <f>SUM(D43:D51)</f>
        <v>0</v>
      </c>
    </row>
    <row r="53" spans="1:4" x14ac:dyDescent="0.25">
      <c r="A53" s="124" t="s">
        <v>70</v>
      </c>
      <c r="B53" s="120"/>
      <c r="C53" s="121"/>
      <c r="D53" s="121"/>
    </row>
    <row r="54" spans="1:4" x14ac:dyDescent="0.25">
      <c r="A54" s="122">
        <v>3.1</v>
      </c>
      <c r="B54" s="120" t="s">
        <v>46</v>
      </c>
      <c r="C54" s="123">
        <v>7</v>
      </c>
      <c r="D54" s="123">
        <f>'Section 3'!E8</f>
        <v>0</v>
      </c>
    </row>
    <row r="55" spans="1:4" x14ac:dyDescent="0.25">
      <c r="A55" s="122">
        <v>3.2</v>
      </c>
      <c r="B55" s="120" t="s">
        <v>47</v>
      </c>
      <c r="C55" s="123">
        <v>1</v>
      </c>
      <c r="D55" s="123">
        <f>'Section 3'!E12</f>
        <v>0</v>
      </c>
    </row>
    <row r="56" spans="1:4" x14ac:dyDescent="0.25">
      <c r="A56" s="122">
        <v>3.3</v>
      </c>
      <c r="B56" s="120" t="s">
        <v>48</v>
      </c>
      <c r="C56" s="123">
        <v>2.5</v>
      </c>
      <c r="D56" s="123">
        <f>'Section 3'!E16</f>
        <v>0</v>
      </c>
    </row>
    <row r="57" spans="1:4" x14ac:dyDescent="0.25">
      <c r="A57" s="122">
        <v>3.4</v>
      </c>
      <c r="B57" s="120" t="s">
        <v>49</v>
      </c>
      <c r="C57" s="123">
        <v>1</v>
      </c>
      <c r="D57" s="123">
        <f>'Section 3'!E22</f>
        <v>0</v>
      </c>
    </row>
    <row r="58" spans="1:4" x14ac:dyDescent="0.25">
      <c r="A58" s="122">
        <v>3.5</v>
      </c>
      <c r="B58" s="120" t="s">
        <v>50</v>
      </c>
      <c r="C58" s="123">
        <v>1</v>
      </c>
      <c r="D58" s="123">
        <f>'Section 3'!E26</f>
        <v>0</v>
      </c>
    </row>
    <row r="59" spans="1:4" x14ac:dyDescent="0.25">
      <c r="A59" s="122">
        <v>3.6</v>
      </c>
      <c r="B59" s="120" t="s">
        <v>51</v>
      </c>
      <c r="C59" s="123">
        <v>2</v>
      </c>
      <c r="D59" s="123">
        <f>'Section 3'!E30</f>
        <v>0</v>
      </c>
    </row>
    <row r="60" spans="1:4" x14ac:dyDescent="0.25">
      <c r="A60" s="122">
        <v>3.7</v>
      </c>
      <c r="B60" s="120" t="s">
        <v>52</v>
      </c>
      <c r="C60" s="123">
        <v>7</v>
      </c>
      <c r="D60" s="123">
        <f>'Section 3'!E35+'Section 3'!E37</f>
        <v>0</v>
      </c>
    </row>
    <row r="61" spans="1:4" x14ac:dyDescent="0.25">
      <c r="A61" s="122">
        <v>3.8</v>
      </c>
      <c r="B61" s="120" t="s">
        <v>37</v>
      </c>
      <c r="C61" s="123">
        <v>3.5</v>
      </c>
      <c r="D61" s="123">
        <f>'Section 3'!E41</f>
        <v>0</v>
      </c>
    </row>
    <row r="62" spans="1:4" x14ac:dyDescent="0.25">
      <c r="A62" s="122">
        <v>3.9</v>
      </c>
      <c r="B62" s="120" t="s">
        <v>53</v>
      </c>
      <c r="C62" s="123">
        <v>1</v>
      </c>
      <c r="D62" s="123">
        <f>'Section 3'!E51</f>
        <v>0</v>
      </c>
    </row>
    <row r="63" spans="1:4" x14ac:dyDescent="0.25">
      <c r="A63" s="122" t="s">
        <v>45</v>
      </c>
      <c r="B63" s="120" t="s">
        <v>54</v>
      </c>
      <c r="C63" s="123">
        <v>2</v>
      </c>
      <c r="D63" s="123">
        <f>'Section 3'!E53</f>
        <v>0</v>
      </c>
    </row>
    <row r="64" spans="1:4" x14ac:dyDescent="0.25">
      <c r="A64" s="122">
        <v>3.11</v>
      </c>
      <c r="B64" s="120" t="s">
        <v>55</v>
      </c>
      <c r="C64" s="123">
        <v>2</v>
      </c>
      <c r="D64" s="123">
        <f>'Section 3'!E56</f>
        <v>0</v>
      </c>
    </row>
    <row r="65" spans="1:4" x14ac:dyDescent="0.25">
      <c r="A65" s="120"/>
      <c r="B65" s="124" t="s">
        <v>56</v>
      </c>
      <c r="C65" s="125">
        <v>30</v>
      </c>
      <c r="D65" s="125">
        <f>SUM(D54:D64)</f>
        <v>0</v>
      </c>
    </row>
    <row r="66" spans="1:4" x14ac:dyDescent="0.25">
      <c r="A66" s="133" t="s">
        <v>71</v>
      </c>
      <c r="B66" s="141"/>
      <c r="C66" s="142"/>
      <c r="D66" s="142"/>
    </row>
    <row r="67" spans="1:4" x14ac:dyDescent="0.25">
      <c r="A67" s="143">
        <v>4.0999999999999996</v>
      </c>
      <c r="B67" s="141" t="s">
        <v>59</v>
      </c>
      <c r="C67" s="144">
        <v>5.5</v>
      </c>
      <c r="D67" s="144">
        <f>'Section 4'!E10+'Section 4'!E12+'Section 4'!E14+'Section 4'!E16</f>
        <v>0</v>
      </c>
    </row>
    <row r="68" spans="1:4" x14ac:dyDescent="0.25">
      <c r="A68" s="143">
        <v>4.2</v>
      </c>
      <c r="B68" s="141" t="s">
        <v>60</v>
      </c>
      <c r="C68" s="144">
        <v>1.5</v>
      </c>
      <c r="D68" s="144">
        <f>'Section 4'!E20+'Section 4'!E22</f>
        <v>0</v>
      </c>
    </row>
    <row r="69" spans="1:4" x14ac:dyDescent="0.25">
      <c r="A69" s="143">
        <v>4.3</v>
      </c>
      <c r="B69" s="141" t="s">
        <v>61</v>
      </c>
      <c r="C69" s="144">
        <v>2.5</v>
      </c>
      <c r="D69" s="144">
        <f>'Section 4'!E25</f>
        <v>0</v>
      </c>
    </row>
    <row r="70" spans="1:4" x14ac:dyDescent="0.25">
      <c r="A70" s="143">
        <v>4.4000000000000004</v>
      </c>
      <c r="B70" s="141" t="s">
        <v>62</v>
      </c>
      <c r="C70" s="144">
        <v>2.5</v>
      </c>
      <c r="D70" s="144">
        <f>'Section 4'!E32+'Section 4'!E36</f>
        <v>0</v>
      </c>
    </row>
    <row r="71" spans="1:4" x14ac:dyDescent="0.25">
      <c r="A71" s="143">
        <v>4.5</v>
      </c>
      <c r="B71" s="141" t="s">
        <v>63</v>
      </c>
      <c r="C71" s="144">
        <v>4</v>
      </c>
      <c r="D71" s="144">
        <f>'Section 4'!E43+'Section 4'!E45+'Section 4'!E47+'Section 4'!E49</f>
        <v>0</v>
      </c>
    </row>
    <row r="72" spans="1:4" x14ac:dyDescent="0.25">
      <c r="A72" s="143">
        <v>4.5999999999999996</v>
      </c>
      <c r="B72" s="141" t="s">
        <v>64</v>
      </c>
      <c r="C72" s="144">
        <v>1</v>
      </c>
      <c r="D72" s="144">
        <f>'Section 4'!E51</f>
        <v>0</v>
      </c>
    </row>
    <row r="73" spans="1:4" x14ac:dyDescent="0.25">
      <c r="A73" s="143">
        <v>4.7</v>
      </c>
      <c r="B73" s="141" t="s">
        <v>222</v>
      </c>
      <c r="C73" s="144">
        <v>2</v>
      </c>
      <c r="D73" s="144">
        <f>'Section 4'!E53</f>
        <v>0</v>
      </c>
    </row>
    <row r="74" spans="1:4" x14ac:dyDescent="0.25">
      <c r="A74" s="143">
        <v>4.8</v>
      </c>
      <c r="B74" s="141" t="s">
        <v>65</v>
      </c>
      <c r="C74" s="144">
        <v>11</v>
      </c>
      <c r="D74" s="144">
        <f>'Section 4'!E58+'Section 4'!E66+'Section 4'!E71+'Section 4'!E73</f>
        <v>0</v>
      </c>
    </row>
    <row r="75" spans="1:4" x14ac:dyDescent="0.25">
      <c r="A75" s="143">
        <v>4.9000000000000004</v>
      </c>
      <c r="B75" s="141" t="s">
        <v>66</v>
      </c>
      <c r="C75" s="144">
        <v>5</v>
      </c>
      <c r="D75" s="144">
        <f>'Section 4'!E76</f>
        <v>0</v>
      </c>
    </row>
    <row r="76" spans="1:4" x14ac:dyDescent="0.25">
      <c r="A76" s="143" t="s">
        <v>57</v>
      </c>
      <c r="B76" s="141" t="s">
        <v>67</v>
      </c>
      <c r="C76" s="144">
        <v>5</v>
      </c>
      <c r="D76" s="144">
        <f>'Section 4'!E87+'Section 4'!E96</f>
        <v>0</v>
      </c>
    </row>
    <row r="77" spans="1:4" x14ac:dyDescent="0.25">
      <c r="A77" s="141"/>
      <c r="B77" s="133" t="s">
        <v>58</v>
      </c>
      <c r="C77" s="134">
        <v>40</v>
      </c>
      <c r="D77" s="134">
        <f>SUM(D67:D76)</f>
        <v>0</v>
      </c>
    </row>
    <row r="78" spans="1:4" x14ac:dyDescent="0.25">
      <c r="A78" s="176" t="s">
        <v>72</v>
      </c>
      <c r="B78" s="138"/>
      <c r="C78" s="139"/>
      <c r="D78" s="139"/>
    </row>
    <row r="79" spans="1:4" x14ac:dyDescent="0.25">
      <c r="A79" s="138"/>
      <c r="B79" s="138" t="s">
        <v>73</v>
      </c>
      <c r="C79" s="140">
        <v>20</v>
      </c>
      <c r="D79" s="140">
        <f>'Section 5'!D1</f>
        <v>2</v>
      </c>
    </row>
    <row r="80" spans="1:4" x14ac:dyDescent="0.25">
      <c r="A80" s="138"/>
      <c r="B80" s="176" t="s">
        <v>74</v>
      </c>
      <c r="C80" s="197">
        <v>20</v>
      </c>
      <c r="D80" s="197">
        <f>D79</f>
        <v>2</v>
      </c>
    </row>
  </sheetData>
  <sheetProtection algorithmName="SHA-512" hashValue="E7M1i2XwGEutGC29wktzUG7HdG20OlUvqS3LM3EAJ48z/qThLTGSaL2EHVsFXyWbhLQroSsxZWHkOQY9h8ONeQ==" saltValue="9U7MEl3IyVMCv/ICp3cTrA==" spinCount="100000" sheet="1" objects="1" scenarios="1"/>
  <dataValidations count="2">
    <dataValidation type="list" allowBlank="1" showInputMessage="1" showErrorMessage="1" sqref="B4" xr:uid="{00000000-0002-0000-0000-000000000000}">
      <formula1>$H$8:$H$16</formula1>
    </dataValidation>
    <dataValidation type="decimal" allowBlank="1" showInputMessage="1" showErrorMessage="1" sqref="B5" xr:uid="{00000000-0002-0000-0000-000001000000}">
      <formula1>0</formula1>
      <formula2>9.99999999999999E+30</formula2>
    </dataValidation>
  </dataValidations>
  <pageMargins left="0.7" right="0.7" top="0.75" bottom="0.75" header="0.3" footer="0.3"/>
  <pageSetup paperSize="9" scale="47" orientation="portrait" r:id="rId1"/>
  <extLst>
    <ext xmlns:x14="http://schemas.microsoft.com/office/spreadsheetml/2009/9/main" uri="{78C0D931-6437-407d-A8EE-F0AAD7539E65}">
      <x14:conditionalFormattings>
        <x14:conditionalFormatting xmlns:xm="http://schemas.microsoft.com/office/excel/2006/main">
          <x14:cfRule type="expression" priority="15" id="{3FCBF446-861B-479E-AEDC-E35FDD692595}">
            <xm:f>'Section 2'!$N$4=1</xm:f>
            <x14:dxf>
              <fill>
                <patternFill>
                  <bgColor rgb="FF00B050"/>
                </patternFill>
              </fill>
            </x14:dxf>
          </x14:cfRule>
          <xm:sqref>C8</xm:sqref>
        </x14:conditionalFormatting>
        <x14:conditionalFormatting xmlns:xm="http://schemas.microsoft.com/office/excel/2006/main">
          <x14:cfRule type="expression" priority="14" id="{E01C66CC-93BA-46D6-9C75-3771B6E210B4}">
            <xm:f>'Section 2'!$N$4=1</xm:f>
            <x14:dxf>
              <fill>
                <patternFill>
                  <bgColor rgb="FF00B050"/>
                </patternFill>
              </fill>
            </x14:dxf>
          </x14:cfRule>
          <xm:sqref>D8</xm:sqref>
        </x14:conditionalFormatting>
        <x14:conditionalFormatting xmlns:xm="http://schemas.microsoft.com/office/excel/2006/main">
          <x14:cfRule type="expression" priority="13" id="{543C207B-84E2-4AB2-A840-5C13438B3020}">
            <xm:f>'Section 2'!$N$4=1</xm:f>
            <x14:dxf>
              <fill>
                <patternFill>
                  <bgColor rgb="FF00B050"/>
                </patternFill>
              </fill>
            </x14:dxf>
          </x14:cfRule>
          <xm:sqref>E8</xm:sqref>
        </x14:conditionalFormatting>
        <x14:conditionalFormatting xmlns:xm="http://schemas.microsoft.com/office/excel/2006/main">
          <x14:cfRule type="expression" priority="12" id="{518BABA9-7FBB-4ADF-9B56-8E4ABEB22E3E}">
            <xm:f>'Section 2'!$N$4=1</xm:f>
            <x14:dxf>
              <fill>
                <patternFill>
                  <bgColor rgb="FF00B050"/>
                </patternFill>
              </fill>
            </x14:dxf>
          </x14:cfRule>
          <xm:sqref>F8</xm:sqref>
        </x14:conditionalFormatting>
        <x14:conditionalFormatting xmlns:xm="http://schemas.microsoft.com/office/excel/2006/main">
          <x14:cfRule type="expression" priority="11" id="{1F15B1BB-24F4-4D60-B70B-C04B8ACE76AC}">
            <xm:f>'Section 2'!$N$5=1</xm:f>
            <x14:dxf>
              <fill>
                <patternFill>
                  <bgColor rgb="FF00B050"/>
                </patternFill>
              </fill>
            </x14:dxf>
          </x14:cfRule>
          <xm:sqref>C9:F9</xm:sqref>
        </x14:conditionalFormatting>
        <x14:conditionalFormatting xmlns:xm="http://schemas.microsoft.com/office/excel/2006/main">
          <x14:cfRule type="expression" priority="10" id="{35B7E2CD-8E56-4FF2-82F9-6549891EE785}">
            <xm:f>'Section 5'!$N$50=1</xm:f>
            <x14:dxf>
              <fill>
                <patternFill>
                  <bgColor rgb="FF00B050"/>
                </patternFill>
              </fill>
            </x14:dxf>
          </x14:cfRule>
          <xm:sqref>F18</xm:sqref>
        </x14:conditionalFormatting>
        <x14:conditionalFormatting xmlns:xm="http://schemas.microsoft.com/office/excel/2006/main">
          <x14:cfRule type="expression" priority="9" id="{CD39171F-527B-4B19-AFD9-0F47E8A269E6}">
            <xm:f>'Section 4'!$N$6=1</xm:f>
            <x14:dxf>
              <fill>
                <patternFill>
                  <bgColor rgb="FF00B050"/>
                </patternFill>
              </fill>
            </x14:dxf>
          </x14:cfRule>
          <xm:sqref>E17:F17</xm:sqref>
        </x14:conditionalFormatting>
        <x14:conditionalFormatting xmlns:xm="http://schemas.microsoft.com/office/excel/2006/main">
          <x14:cfRule type="expression" priority="8" id="{9F576DAC-5643-475F-864B-3B2252C39C49}">
            <xm:f>'Section 2'!$N$6=1</xm:f>
            <x14:dxf>
              <fill>
                <patternFill>
                  <bgColor rgb="FF00B050"/>
                </patternFill>
              </fill>
            </x14:dxf>
          </x14:cfRule>
          <xm:sqref>C10:F10</xm:sqref>
        </x14:conditionalFormatting>
        <x14:conditionalFormatting xmlns:xm="http://schemas.microsoft.com/office/excel/2006/main">
          <x14:cfRule type="expression" priority="7" id="{E4BF74E8-F9FF-4B62-A5A3-09270AF9FE59}">
            <xm:f>'Section 3'!$N$4=1</xm:f>
            <x14:dxf>
              <fill>
                <patternFill>
                  <bgColor rgb="FF00B050"/>
                </patternFill>
              </fill>
            </x14:dxf>
          </x14:cfRule>
          <xm:sqref>C11:F11</xm:sqref>
        </x14:conditionalFormatting>
        <x14:conditionalFormatting xmlns:xm="http://schemas.microsoft.com/office/excel/2006/main">
          <x14:cfRule type="expression" priority="6" id="{295AF0A9-E5A3-4844-81DD-14082ACCE3C1}">
            <xm:f>'Section 2'!$N$7=1</xm:f>
            <x14:dxf>
              <fill>
                <patternFill>
                  <bgColor rgb="FF00B050"/>
                </patternFill>
              </fill>
            </x14:dxf>
          </x14:cfRule>
          <xm:sqref>C12:F12</xm:sqref>
        </x14:conditionalFormatting>
        <x14:conditionalFormatting xmlns:xm="http://schemas.microsoft.com/office/excel/2006/main">
          <x14:cfRule type="expression" priority="5" id="{4D46C740-3146-4E19-89C9-00FA2279B06D}">
            <xm:f>'Section 4'!$N$4=1</xm:f>
            <x14:dxf>
              <fill>
                <patternFill>
                  <bgColor rgb="FF00B050"/>
                </patternFill>
              </fill>
            </x14:dxf>
          </x14:cfRule>
          <xm:sqref>C13:F13</xm:sqref>
        </x14:conditionalFormatting>
        <x14:conditionalFormatting xmlns:xm="http://schemas.microsoft.com/office/excel/2006/main">
          <x14:cfRule type="expression" priority="4" id="{F72F6A86-B0A8-4720-A31D-6E3186A6D067}">
            <xm:f>'Section 4'!$N$5=1</xm:f>
            <x14:dxf>
              <fill>
                <patternFill>
                  <bgColor rgb="FF00B050"/>
                </patternFill>
              </fill>
            </x14:dxf>
          </x14:cfRule>
          <xm:sqref>C14:F14</xm:sqref>
        </x14:conditionalFormatting>
        <x14:conditionalFormatting xmlns:xm="http://schemas.microsoft.com/office/excel/2006/main">
          <x14:cfRule type="expression" priority="3" id="{CE1F000F-5C82-4D1B-AAC4-2D028B3DFEA8}">
            <xm:f>'Section 1'!$N$4=1</xm:f>
            <x14:dxf>
              <fill>
                <patternFill>
                  <bgColor rgb="FF00B050"/>
                </patternFill>
              </fill>
            </x14:dxf>
          </x14:cfRule>
          <xm:sqref>D15:F15</xm:sqref>
        </x14:conditionalFormatting>
        <x14:conditionalFormatting xmlns:xm="http://schemas.microsoft.com/office/excel/2006/main">
          <x14:cfRule type="expression" priority="2" id="{293F37D9-1377-4786-924D-3708103A8982}">
            <xm:f>'Section 3'!$N$5=1</xm:f>
            <x14:dxf>
              <fill>
                <patternFill>
                  <bgColor rgb="FF00B050"/>
                </patternFill>
              </fill>
            </x14:dxf>
          </x14:cfRule>
          <xm:sqref>D16:F16</xm:sqref>
        </x14:conditionalFormatting>
        <x14:conditionalFormatting xmlns:xm="http://schemas.microsoft.com/office/excel/2006/main">
          <x14:cfRule type="expression" priority="1" id="{28620324-188D-4A19-BCD7-0C01ABB9789C}">
            <xm:f>'Section 2'!$C$35&lt;10</xm:f>
            <x14:dxf>
              <fill>
                <patternFill patternType="darkGray">
                  <bgColor theme="1" tint="0.34998626667073579"/>
                </patternFill>
              </fill>
            </x14:dxf>
          </x14:cfRule>
          <xm:sqref>D45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96"/>
  <sheetViews>
    <sheetView view="pageBreakPreview" zoomScaleNormal="85" zoomScaleSheetLayoutView="100" workbookViewId="0">
      <pane ySplit="1" topLeftCell="A68" activePane="bottomLeft" state="frozen"/>
      <selection pane="bottomLeft" activeCell="T75" sqref="T75"/>
    </sheetView>
  </sheetViews>
  <sheetFormatPr defaultRowHeight="15" x14ac:dyDescent="0.25"/>
  <cols>
    <col min="1" max="1" width="9.140625" style="1"/>
    <col min="2" max="2" width="68.5703125" style="1" customWidth="1"/>
    <col min="3" max="3" width="21.7109375" style="1" customWidth="1"/>
    <col min="4" max="4" width="19.140625" style="23" customWidth="1"/>
    <col min="5" max="5" width="12.42578125" style="23" customWidth="1"/>
    <col min="6" max="6" width="33.28515625" style="14" customWidth="1"/>
    <col min="7" max="11" width="9.140625" style="196" hidden="1" customWidth="1"/>
    <col min="12" max="17" width="9.140625" style="191" hidden="1" customWidth="1"/>
    <col min="18" max="18" width="9.140625" customWidth="1"/>
  </cols>
  <sheetData>
    <row r="1" spans="1:14" x14ac:dyDescent="0.25">
      <c r="A1" s="145" t="s">
        <v>78</v>
      </c>
      <c r="B1" s="145"/>
      <c r="C1" s="146" t="s">
        <v>103</v>
      </c>
      <c r="D1" s="147">
        <f>SUM(E:E)</f>
        <v>0</v>
      </c>
    </row>
    <row r="3" spans="1:14" x14ac:dyDescent="0.25">
      <c r="A3" s="149" t="s">
        <v>371</v>
      </c>
      <c r="B3" s="86"/>
      <c r="C3" s="241" t="s">
        <v>376</v>
      </c>
      <c r="D3" s="241"/>
    </row>
    <row r="4" spans="1:14" x14ac:dyDescent="0.25">
      <c r="A4" s="82">
        <v>8</v>
      </c>
      <c r="B4" s="4" t="s">
        <v>379</v>
      </c>
      <c r="C4" s="242"/>
      <c r="D4" s="242"/>
      <c r="M4" s="191" t="b">
        <v>0</v>
      </c>
      <c r="N4" s="191">
        <f>IF(M4=TRUE,1,0)</f>
        <v>0</v>
      </c>
    </row>
    <row r="7" spans="1:14" ht="43.5" customHeight="1" x14ac:dyDescent="0.25">
      <c r="A7" s="24">
        <v>1.1000000000000001</v>
      </c>
      <c r="B7" s="25" t="s">
        <v>3</v>
      </c>
      <c r="C7" s="104" t="s">
        <v>79</v>
      </c>
      <c r="D7" s="105" t="s">
        <v>102</v>
      </c>
      <c r="E7" s="106" t="s">
        <v>103</v>
      </c>
      <c r="F7" s="107" t="s">
        <v>332</v>
      </c>
    </row>
    <row r="8" spans="1:14" ht="43.5" x14ac:dyDescent="0.25">
      <c r="A8" s="28"/>
      <c r="B8" s="132" t="s">
        <v>80</v>
      </c>
      <c r="C8" s="28"/>
      <c r="D8" s="247">
        <v>1</v>
      </c>
      <c r="E8" s="248">
        <f>MAX(N9:N11)</f>
        <v>0</v>
      </c>
      <c r="F8" s="238"/>
      <c r="M8" s="193"/>
    </row>
    <row r="9" spans="1:14" x14ac:dyDescent="0.25">
      <c r="A9" s="26"/>
      <c r="B9" s="29" t="s">
        <v>450</v>
      </c>
      <c r="C9" s="189"/>
      <c r="D9" s="243"/>
      <c r="E9" s="245"/>
      <c r="F9" s="239"/>
      <c r="M9" s="191" t="b">
        <v>0</v>
      </c>
      <c r="N9" s="191">
        <f>IF(M9=TRUE, 0.5,0)</f>
        <v>0</v>
      </c>
    </row>
    <row r="10" spans="1:14" x14ac:dyDescent="0.25">
      <c r="A10" s="26"/>
      <c r="B10" s="29" t="s">
        <v>451</v>
      </c>
      <c r="C10" s="189"/>
      <c r="D10" s="243"/>
      <c r="E10" s="245"/>
      <c r="F10" s="239"/>
      <c r="M10" s="191" t="b">
        <v>0</v>
      </c>
      <c r="N10" s="191">
        <f>IF(M10=TRUE, 1,0)</f>
        <v>0</v>
      </c>
    </row>
    <row r="11" spans="1:14" x14ac:dyDescent="0.25">
      <c r="A11" s="30"/>
      <c r="B11" s="31" t="s">
        <v>82</v>
      </c>
      <c r="C11" s="190"/>
      <c r="D11" s="244"/>
      <c r="E11" s="246"/>
      <c r="F11" s="240"/>
      <c r="M11" s="191" t="b">
        <v>0</v>
      </c>
      <c r="N11" s="191">
        <f>IF(M11=TRUE, 1,0)</f>
        <v>0</v>
      </c>
    </row>
    <row r="12" spans="1:14" x14ac:dyDescent="0.25">
      <c r="A12" s="24">
        <v>1.2</v>
      </c>
      <c r="B12" s="25" t="s">
        <v>5</v>
      </c>
      <c r="C12" s="28"/>
      <c r="D12" s="214"/>
      <c r="E12" s="213"/>
      <c r="F12" s="238"/>
    </row>
    <row r="13" spans="1:14" ht="29.25" x14ac:dyDescent="0.25">
      <c r="A13" s="26"/>
      <c r="B13" s="34" t="s">
        <v>81</v>
      </c>
      <c r="C13" s="26"/>
      <c r="D13" s="243">
        <v>4</v>
      </c>
      <c r="E13" s="245">
        <f>SUM(N14:N17)</f>
        <v>0</v>
      </c>
      <c r="F13" s="239"/>
    </row>
    <row r="14" spans="1:14" x14ac:dyDescent="0.25">
      <c r="A14" s="26"/>
      <c r="B14" s="29" t="s">
        <v>83</v>
      </c>
      <c r="C14" s="189"/>
      <c r="D14" s="243"/>
      <c r="E14" s="245"/>
      <c r="F14" s="239"/>
      <c r="M14" s="191" t="b">
        <v>0</v>
      </c>
      <c r="N14" s="191">
        <f t="shared" ref="N14:N15" si="0">IF(M14=TRUE, 1,0)</f>
        <v>0</v>
      </c>
    </row>
    <row r="15" spans="1:14" x14ac:dyDescent="0.25">
      <c r="A15" s="26"/>
      <c r="B15" s="29" t="s">
        <v>84</v>
      </c>
      <c r="C15" s="189"/>
      <c r="D15" s="243"/>
      <c r="E15" s="245"/>
      <c r="F15" s="239"/>
      <c r="M15" s="191" t="b">
        <v>0</v>
      </c>
      <c r="N15" s="191">
        <f t="shared" si="0"/>
        <v>0</v>
      </c>
    </row>
    <row r="16" spans="1:14" x14ac:dyDescent="0.25">
      <c r="A16" s="26"/>
      <c r="B16" s="29" t="s">
        <v>85</v>
      </c>
      <c r="C16" s="189"/>
      <c r="D16" s="243"/>
      <c r="E16" s="245"/>
      <c r="F16" s="239"/>
      <c r="M16" s="191" t="b">
        <v>0</v>
      </c>
      <c r="N16" s="191">
        <f>IF(M16=TRUE, 1,0)</f>
        <v>0</v>
      </c>
    </row>
    <row r="17" spans="1:14" x14ac:dyDescent="0.25">
      <c r="A17" s="30"/>
      <c r="B17" s="31" t="s">
        <v>86</v>
      </c>
      <c r="C17" s="190"/>
      <c r="D17" s="244"/>
      <c r="E17" s="246"/>
      <c r="F17" s="240"/>
      <c r="M17" s="191" t="b">
        <v>0</v>
      </c>
      <c r="N17" s="191">
        <f t="shared" ref="N17" si="1">IF(M17=TRUE, 1,0)</f>
        <v>0</v>
      </c>
    </row>
    <row r="18" spans="1:14" x14ac:dyDescent="0.25">
      <c r="A18" s="24">
        <v>1.3</v>
      </c>
      <c r="B18" s="25" t="s">
        <v>6</v>
      </c>
      <c r="C18" s="28"/>
      <c r="D18" s="214"/>
      <c r="E18" s="213"/>
      <c r="F18" s="238"/>
    </row>
    <row r="19" spans="1:14" ht="45" customHeight="1" x14ac:dyDescent="0.25">
      <c r="A19" s="26"/>
      <c r="B19" s="34" t="s">
        <v>87</v>
      </c>
      <c r="C19" s="26"/>
      <c r="D19" s="243">
        <v>2</v>
      </c>
      <c r="E19" s="245">
        <f>MAX(N20:N21)</f>
        <v>0</v>
      </c>
      <c r="F19" s="239"/>
    </row>
    <row r="20" spans="1:14" x14ac:dyDescent="0.25">
      <c r="A20" s="26"/>
      <c r="B20" s="29" t="s">
        <v>88</v>
      </c>
      <c r="C20" s="189"/>
      <c r="D20" s="243"/>
      <c r="E20" s="245"/>
      <c r="F20" s="239"/>
      <c r="M20" s="191" t="b">
        <v>0</v>
      </c>
      <c r="N20" s="191">
        <f>IF(M20=TRUE, 1,0)</f>
        <v>0</v>
      </c>
    </row>
    <row r="21" spans="1:14" ht="29.25" x14ac:dyDescent="0.25">
      <c r="A21" s="30"/>
      <c r="B21" s="35" t="s">
        <v>89</v>
      </c>
      <c r="C21" s="190"/>
      <c r="D21" s="244"/>
      <c r="E21" s="246"/>
      <c r="F21" s="240"/>
      <c r="M21" s="191" t="b">
        <v>0</v>
      </c>
      <c r="N21" s="191">
        <f>IF(M21=TRUE, 2,0)</f>
        <v>0</v>
      </c>
    </row>
    <row r="22" spans="1:14" x14ac:dyDescent="0.25">
      <c r="A22" s="24">
        <v>1.4</v>
      </c>
      <c r="B22" s="25" t="s">
        <v>13</v>
      </c>
      <c r="C22" s="28"/>
      <c r="D22" s="214"/>
      <c r="E22" s="213"/>
      <c r="F22" s="238"/>
    </row>
    <row r="23" spans="1:14" ht="29.25" x14ac:dyDescent="0.25">
      <c r="A23" s="26"/>
      <c r="B23" s="34" t="s">
        <v>90</v>
      </c>
      <c r="C23" s="26"/>
      <c r="D23" s="243">
        <v>2</v>
      </c>
      <c r="E23" s="245">
        <f>SUM(N24:N25)</f>
        <v>0</v>
      </c>
      <c r="F23" s="239"/>
    </row>
    <row r="24" spans="1:14" x14ac:dyDescent="0.25">
      <c r="A24" s="26"/>
      <c r="B24" s="20" t="s">
        <v>91</v>
      </c>
      <c r="C24" s="189"/>
      <c r="D24" s="243"/>
      <c r="E24" s="245"/>
      <c r="F24" s="239"/>
      <c r="M24" s="191" t="b">
        <v>0</v>
      </c>
      <c r="N24" s="191">
        <f>IF(M24=TRUE, 1,0)</f>
        <v>0</v>
      </c>
    </row>
    <row r="25" spans="1:14" x14ac:dyDescent="0.25">
      <c r="A25" s="30"/>
      <c r="B25" s="36" t="s">
        <v>92</v>
      </c>
      <c r="C25" s="190"/>
      <c r="D25" s="244"/>
      <c r="E25" s="246"/>
      <c r="F25" s="240"/>
      <c r="M25" s="191" t="b">
        <v>0</v>
      </c>
      <c r="N25" s="191">
        <f>IF(M25=TRUE, 1,0)</f>
        <v>0</v>
      </c>
    </row>
    <row r="26" spans="1:14" x14ac:dyDescent="0.25">
      <c r="A26" s="24">
        <v>1.5</v>
      </c>
      <c r="B26" s="25" t="s">
        <v>7</v>
      </c>
      <c r="C26" s="28"/>
      <c r="D26" s="32"/>
      <c r="E26" s="33"/>
      <c r="F26" s="238"/>
    </row>
    <row r="27" spans="1:14" ht="29.25" x14ac:dyDescent="0.25">
      <c r="A27" s="26"/>
      <c r="B27" s="34" t="s">
        <v>93</v>
      </c>
      <c r="C27" s="189"/>
      <c r="D27" s="201">
        <v>1</v>
      </c>
      <c r="E27" s="200">
        <f>N27</f>
        <v>0</v>
      </c>
      <c r="F27" s="239"/>
      <c r="M27" s="191" t="b">
        <v>0</v>
      </c>
      <c r="N27" s="191">
        <f>IF(M27=TRUE, 1, 0)</f>
        <v>0</v>
      </c>
    </row>
    <row r="28" spans="1:14" x14ac:dyDescent="0.25">
      <c r="A28" s="24">
        <v>1.6</v>
      </c>
      <c r="B28" s="25" t="s">
        <v>8</v>
      </c>
      <c r="C28" s="21"/>
      <c r="D28" s="202"/>
      <c r="E28" s="202"/>
      <c r="F28" s="238"/>
    </row>
    <row r="29" spans="1:14" ht="43.5" x14ac:dyDescent="0.25">
      <c r="A29" s="26"/>
      <c r="B29" s="34" t="s">
        <v>94</v>
      </c>
      <c r="C29" s="205"/>
      <c r="D29" s="243">
        <v>2</v>
      </c>
      <c r="E29" s="245">
        <f>MAX(N29:N31)</f>
        <v>0</v>
      </c>
      <c r="F29" s="239"/>
      <c r="M29" s="191" t="b">
        <v>0</v>
      </c>
      <c r="N29" s="191">
        <f>IF(M29=TRUE, 0.5,0)</f>
        <v>0</v>
      </c>
    </row>
    <row r="30" spans="1:14" ht="17.25" x14ac:dyDescent="0.25">
      <c r="A30" s="26"/>
      <c r="B30" s="40" t="s">
        <v>327</v>
      </c>
      <c r="C30" s="195"/>
      <c r="D30" s="243"/>
      <c r="E30" s="245"/>
      <c r="F30" s="239"/>
      <c r="M30" s="191">
        <f>IF(C31&gt;0, C31/C30, 0)</f>
        <v>0</v>
      </c>
      <c r="N30" s="191">
        <f>IF(M30 &gt;=0.1, 1,0)</f>
        <v>0</v>
      </c>
    </row>
    <row r="31" spans="1:14" ht="17.25" x14ac:dyDescent="0.25">
      <c r="A31" s="26"/>
      <c r="B31" s="40" t="s">
        <v>328</v>
      </c>
      <c r="C31" s="195"/>
      <c r="D31" s="243"/>
      <c r="E31" s="245"/>
      <c r="F31" s="239"/>
      <c r="N31" s="191">
        <f>IF(M30&gt;=0.4,2,0)</f>
        <v>0</v>
      </c>
    </row>
    <row r="32" spans="1:14" x14ac:dyDescent="0.25">
      <c r="A32" s="30"/>
      <c r="B32" s="35" t="s">
        <v>388</v>
      </c>
      <c r="C32" s="206">
        <f>IF(OR(C31=0,C30=0),0,C31/C30*100)</f>
        <v>0</v>
      </c>
      <c r="D32" s="244"/>
      <c r="E32" s="246"/>
      <c r="F32" s="240"/>
    </row>
    <row r="33" spans="1:14" x14ac:dyDescent="0.25">
      <c r="A33" s="203">
        <v>1.7</v>
      </c>
      <c r="B33" s="204" t="s">
        <v>9</v>
      </c>
      <c r="C33" s="26"/>
      <c r="D33" s="201"/>
      <c r="E33" s="200"/>
      <c r="F33" s="239"/>
    </row>
    <row r="34" spans="1:14" ht="43.5" x14ac:dyDescent="0.25">
      <c r="A34" s="26"/>
      <c r="B34" s="34" t="s">
        <v>110</v>
      </c>
      <c r="C34" s="26"/>
      <c r="D34" s="42">
        <v>3</v>
      </c>
      <c r="E34" s="43">
        <f>IF(C35=0,0,IF(C35=1,1,IF(C35=2,2,IF(C35&gt;=3,3,0))))</f>
        <v>0</v>
      </c>
      <c r="F34" s="239"/>
    </row>
    <row r="35" spans="1:14" x14ac:dyDescent="0.25">
      <c r="A35" s="30"/>
      <c r="B35" s="35" t="s">
        <v>95</v>
      </c>
      <c r="C35" s="188"/>
      <c r="D35" s="38"/>
      <c r="E35" s="39"/>
      <c r="F35" s="240"/>
    </row>
    <row r="36" spans="1:14" x14ac:dyDescent="0.25">
      <c r="A36" s="24">
        <v>1.8</v>
      </c>
      <c r="B36" s="41" t="s">
        <v>10</v>
      </c>
      <c r="C36" s="28"/>
      <c r="D36" s="32"/>
      <c r="E36" s="33"/>
      <c r="F36" s="238"/>
    </row>
    <row r="37" spans="1:14" ht="29.25" x14ac:dyDescent="0.25">
      <c r="A37" s="26"/>
      <c r="B37" s="34" t="s">
        <v>96</v>
      </c>
      <c r="C37" s="26"/>
      <c r="D37" s="42"/>
      <c r="E37" s="43"/>
      <c r="F37" s="239"/>
    </row>
    <row r="38" spans="1:14" x14ac:dyDescent="0.25">
      <c r="A38" s="44" t="s">
        <v>97</v>
      </c>
      <c r="B38" s="45" t="s">
        <v>98</v>
      </c>
      <c r="C38" s="26"/>
      <c r="D38" s="243">
        <v>2.5</v>
      </c>
      <c r="E38" s="245">
        <f>IF(C40&lt;0.5,0,IF(C40&lt;1,1,IF(C40&lt;2,1.5,IF(C40&lt;3,2,IF(C40&gt;=3,2.5)))))</f>
        <v>0</v>
      </c>
      <c r="F38" s="239"/>
    </row>
    <row r="39" spans="1:14" ht="69.75" customHeight="1" x14ac:dyDescent="0.25">
      <c r="A39" s="26"/>
      <c r="B39" s="34"/>
      <c r="C39" s="26"/>
      <c r="D39" s="243"/>
      <c r="E39" s="245"/>
      <c r="F39" s="239"/>
    </row>
    <row r="40" spans="1:14" x14ac:dyDescent="0.25">
      <c r="A40" s="26"/>
      <c r="B40" s="40" t="s">
        <v>99</v>
      </c>
      <c r="C40" s="195"/>
      <c r="D40" s="243"/>
      <c r="E40" s="245"/>
      <c r="F40" s="239"/>
    </row>
    <row r="41" spans="1:14" x14ac:dyDescent="0.25">
      <c r="A41" s="44" t="s">
        <v>100</v>
      </c>
      <c r="B41" s="45" t="s">
        <v>101</v>
      </c>
      <c r="C41" s="26"/>
      <c r="D41" s="243">
        <v>1</v>
      </c>
      <c r="E41" s="245">
        <f>N42</f>
        <v>0</v>
      </c>
      <c r="F41" s="239"/>
    </row>
    <row r="42" spans="1:14" ht="56.25" customHeight="1" x14ac:dyDescent="0.25">
      <c r="A42" s="26"/>
      <c r="B42" s="20"/>
      <c r="C42" s="26"/>
      <c r="D42" s="243"/>
      <c r="E42" s="245"/>
      <c r="F42" s="239"/>
      <c r="M42" s="191">
        <f>IF(C44=0,0,C44/C43)</f>
        <v>0</v>
      </c>
      <c r="N42" s="191">
        <f>IF(M42&lt;0.2, 0,IF(M42&lt;0.5,0.5,1))</f>
        <v>0</v>
      </c>
    </row>
    <row r="43" spans="1:14" ht="17.25" x14ac:dyDescent="0.25">
      <c r="A43" s="26"/>
      <c r="B43" s="29" t="s">
        <v>329</v>
      </c>
      <c r="C43" s="195"/>
      <c r="D43" s="243"/>
      <c r="E43" s="245"/>
      <c r="F43" s="239"/>
    </row>
    <row r="44" spans="1:14" ht="17.25" x14ac:dyDescent="0.25">
      <c r="A44" s="26"/>
      <c r="B44" s="29" t="s">
        <v>330</v>
      </c>
      <c r="C44" s="195"/>
      <c r="D44" s="243"/>
      <c r="E44" s="245"/>
      <c r="F44" s="239"/>
    </row>
    <row r="45" spans="1:14" x14ac:dyDescent="0.25">
      <c r="A45" s="44" t="s">
        <v>104</v>
      </c>
      <c r="B45" s="46" t="s">
        <v>105</v>
      </c>
      <c r="C45" s="26"/>
      <c r="D45" s="243">
        <v>1</v>
      </c>
      <c r="E45" s="245">
        <f>IF(C47&lt;10,0,IF(C47&lt;50,0.5,1))</f>
        <v>0</v>
      </c>
      <c r="F45" s="239"/>
    </row>
    <row r="46" spans="1:14" ht="58.5" customHeight="1" x14ac:dyDescent="0.25">
      <c r="A46" s="26"/>
      <c r="B46" s="20"/>
      <c r="C46" s="26"/>
      <c r="D46" s="243"/>
      <c r="E46" s="245"/>
      <c r="F46" s="239"/>
    </row>
    <row r="47" spans="1:14" ht="17.25" x14ac:dyDescent="0.25">
      <c r="A47" s="26"/>
      <c r="B47" s="29" t="s">
        <v>331</v>
      </c>
      <c r="C47" s="195"/>
      <c r="D47" s="243"/>
      <c r="E47" s="245"/>
      <c r="F47" s="239"/>
    </row>
    <row r="48" spans="1:14" x14ac:dyDescent="0.25">
      <c r="A48" s="26"/>
      <c r="B48" s="29"/>
      <c r="C48" s="26"/>
      <c r="D48" s="42"/>
      <c r="E48" s="43"/>
      <c r="F48" s="239"/>
    </row>
    <row r="49" spans="1:17" x14ac:dyDescent="0.25">
      <c r="A49" s="44" t="s">
        <v>123</v>
      </c>
      <c r="B49" s="46" t="s">
        <v>124</v>
      </c>
      <c r="C49" s="26"/>
      <c r="D49" s="243">
        <v>1.5</v>
      </c>
      <c r="E49" s="245">
        <f>MAX(N50:N51)</f>
        <v>0</v>
      </c>
      <c r="F49" s="239"/>
    </row>
    <row r="50" spans="1:17" ht="29.25" x14ac:dyDescent="0.25">
      <c r="A50" s="26"/>
      <c r="B50" s="27" t="s">
        <v>125</v>
      </c>
      <c r="C50" s="189"/>
      <c r="D50" s="243"/>
      <c r="E50" s="245"/>
      <c r="F50" s="239"/>
      <c r="M50" s="191" t="b">
        <v>0</v>
      </c>
      <c r="N50" s="191">
        <f>IF(M50=TRUE, 1.5,0)</f>
        <v>0</v>
      </c>
    </row>
    <row r="51" spans="1:17" x14ac:dyDescent="0.25">
      <c r="A51" s="26"/>
      <c r="B51" s="47" t="s">
        <v>126</v>
      </c>
      <c r="C51" s="189"/>
      <c r="D51" s="243"/>
      <c r="E51" s="245"/>
      <c r="F51" s="239"/>
      <c r="N51" s="191">
        <f>SUM(N52:N54)</f>
        <v>0</v>
      </c>
    </row>
    <row r="52" spans="1:17" x14ac:dyDescent="0.25">
      <c r="A52" s="26"/>
      <c r="B52" s="29" t="s">
        <v>130</v>
      </c>
      <c r="C52" s="189"/>
      <c r="D52" s="243"/>
      <c r="E52" s="245"/>
      <c r="F52" s="239"/>
      <c r="M52" s="191" t="b">
        <v>0</v>
      </c>
      <c r="N52" s="191">
        <f>IF(M52=TRUE, 0.5,0)</f>
        <v>0</v>
      </c>
    </row>
    <row r="53" spans="1:17" x14ac:dyDescent="0.25">
      <c r="A53" s="26"/>
      <c r="B53" s="29" t="s">
        <v>131</v>
      </c>
      <c r="C53" s="189"/>
      <c r="D53" s="243"/>
      <c r="E53" s="245"/>
      <c r="F53" s="239"/>
      <c r="M53" s="191" t="b">
        <v>0</v>
      </c>
      <c r="N53" s="191">
        <f t="shared" ref="N53:N54" si="2">IF(M53=TRUE, 0.5,0)</f>
        <v>0</v>
      </c>
    </row>
    <row r="54" spans="1:17" x14ac:dyDescent="0.25">
      <c r="A54" s="30"/>
      <c r="B54" s="31" t="s">
        <v>132</v>
      </c>
      <c r="C54" s="190"/>
      <c r="D54" s="244"/>
      <c r="E54" s="246"/>
      <c r="F54" s="240"/>
      <c r="M54" s="191" t="b">
        <v>0</v>
      </c>
      <c r="N54" s="191">
        <f t="shared" si="2"/>
        <v>0</v>
      </c>
    </row>
    <row r="55" spans="1:17" x14ac:dyDescent="0.25">
      <c r="A55" s="24">
        <v>1.9</v>
      </c>
      <c r="B55" s="41" t="s">
        <v>11</v>
      </c>
      <c r="C55" s="28"/>
      <c r="D55" s="32"/>
      <c r="E55" s="33"/>
      <c r="F55" s="238"/>
    </row>
    <row r="56" spans="1:17" ht="43.5" x14ac:dyDescent="0.25">
      <c r="A56" s="26"/>
      <c r="B56" s="34" t="s">
        <v>106</v>
      </c>
      <c r="C56" s="26"/>
      <c r="D56" s="42"/>
      <c r="E56" s="43"/>
      <c r="F56" s="239"/>
    </row>
    <row r="57" spans="1:17" x14ac:dyDescent="0.25">
      <c r="A57" s="44" t="s">
        <v>97</v>
      </c>
      <c r="B57" s="46" t="s">
        <v>107</v>
      </c>
      <c r="C57" s="26"/>
      <c r="D57" s="42"/>
      <c r="E57" s="43"/>
      <c r="F57" s="239"/>
      <c r="M57" s="191" t="b">
        <v>1</v>
      </c>
      <c r="N57" s="191">
        <f>IF(M57=TRUE, 1,0)</f>
        <v>1</v>
      </c>
    </row>
    <row r="58" spans="1:17" ht="75" customHeight="1" x14ac:dyDescent="0.25">
      <c r="A58" s="48"/>
      <c r="B58" s="20"/>
      <c r="C58" s="26"/>
      <c r="D58" s="243">
        <v>1.5</v>
      </c>
      <c r="E58" s="245">
        <f>J62</f>
        <v>0</v>
      </c>
      <c r="F58" s="239"/>
    </row>
    <row r="59" spans="1:17" x14ac:dyDescent="0.25">
      <c r="A59" s="48"/>
      <c r="B59" s="29" t="s">
        <v>127</v>
      </c>
      <c r="C59" s="195"/>
      <c r="D59" s="243"/>
      <c r="E59" s="245"/>
      <c r="F59" s="239"/>
      <c r="I59" s="191">
        <f>IF(AND(L59=1,L61=1),0,1)</f>
        <v>1</v>
      </c>
      <c r="J59" s="191"/>
      <c r="K59" s="191">
        <f>IF(AND(L59=1,P60=1),1,0)</f>
        <v>0</v>
      </c>
      <c r="L59" s="191">
        <f>IF(C59="",0,1)</f>
        <v>0</v>
      </c>
      <c r="M59" s="191">
        <f>IF(Q61=0,0,1)</f>
        <v>0</v>
      </c>
      <c r="O59" s="191">
        <f>IF(M59=0,0,MAX(M60:M61))</f>
        <v>0</v>
      </c>
    </row>
    <row r="60" spans="1:17" x14ac:dyDescent="0.25">
      <c r="A60" s="48"/>
      <c r="B60" s="198" t="s">
        <v>129</v>
      </c>
      <c r="C60" s="49"/>
      <c r="D60" s="243"/>
      <c r="E60" s="245"/>
      <c r="F60" s="239"/>
      <c r="I60" s="191"/>
      <c r="J60" s="191"/>
      <c r="K60" s="191">
        <f>IF(AND(P61=1,L61),2,0)</f>
        <v>0</v>
      </c>
      <c r="M60" s="191">
        <f>IF(P60=1, IF(C60=0,0.5,0),IF(P61=1, IF(C61&lt;100,0.5,0),0))</f>
        <v>0</v>
      </c>
      <c r="O60" s="191" t="b">
        <v>0</v>
      </c>
      <c r="P60" s="191">
        <f>IF(O60=TRUE, 1,0)</f>
        <v>0</v>
      </c>
    </row>
    <row r="61" spans="1:17" x14ac:dyDescent="0.25">
      <c r="A61" s="48"/>
      <c r="B61" s="198" t="s">
        <v>128</v>
      </c>
      <c r="C61" s="195"/>
      <c r="D61" s="243"/>
      <c r="E61" s="245"/>
      <c r="F61" s="239"/>
      <c r="I61" s="191"/>
      <c r="J61" s="191">
        <f>MAX(K59:K61)</f>
        <v>0</v>
      </c>
      <c r="K61" s="191">
        <f>IF(AND(K59=1,K60=2),3,0)</f>
        <v>0</v>
      </c>
      <c r="L61" s="191">
        <f>IF(C61="",0,1)</f>
        <v>0</v>
      </c>
      <c r="M61" s="191">
        <f>IF(Q61=2, IF(C61&lt;10,1.5,IF(C61&lt;750, 1,0)),0)</f>
        <v>0</v>
      </c>
      <c r="O61" s="191" t="b">
        <v>0</v>
      </c>
      <c r="P61" s="191">
        <f>IF(O61=TRUE, 1,0)</f>
        <v>0</v>
      </c>
      <c r="Q61" s="191">
        <f>SUM(P60:P61)</f>
        <v>0</v>
      </c>
    </row>
    <row r="62" spans="1:17" x14ac:dyDescent="0.25">
      <c r="A62" s="44" t="s">
        <v>100</v>
      </c>
      <c r="B62" s="46" t="s">
        <v>108</v>
      </c>
      <c r="C62" s="26"/>
      <c r="D62" s="42"/>
      <c r="E62" s="43"/>
      <c r="F62" s="239"/>
      <c r="J62" s="191">
        <f>IF(J61=1,0.5,IF(AND(J61=2,C61&lt;100),0.5,IF(AND(J61=3,C61&lt;10),1.5,IF(AND(J61=3,C61&lt;750),1,0))))</f>
        <v>0</v>
      </c>
    </row>
    <row r="63" spans="1:17" ht="43.5" x14ac:dyDescent="0.25">
      <c r="A63" s="48"/>
      <c r="B63" s="34" t="s">
        <v>109</v>
      </c>
      <c r="C63" s="26"/>
      <c r="D63" s="42">
        <v>1</v>
      </c>
      <c r="E63" s="43">
        <f>N63</f>
        <v>0</v>
      </c>
      <c r="F63" s="239"/>
      <c r="M63" s="191" t="b">
        <v>0</v>
      </c>
      <c r="N63" s="191">
        <f>IF(M63=TRUE, 1,0)</f>
        <v>0</v>
      </c>
    </row>
    <row r="64" spans="1:17" x14ac:dyDescent="0.25">
      <c r="A64" s="48"/>
      <c r="B64" s="20"/>
      <c r="C64" s="26"/>
      <c r="D64" s="42"/>
      <c r="E64" s="43"/>
      <c r="F64" s="239"/>
    </row>
    <row r="65" spans="1:16" x14ac:dyDescent="0.25">
      <c r="A65" s="44" t="s">
        <v>104</v>
      </c>
      <c r="B65" s="46" t="s">
        <v>111</v>
      </c>
      <c r="C65" s="26"/>
      <c r="D65" s="42"/>
      <c r="E65" s="43"/>
      <c r="F65" s="239"/>
    </row>
    <row r="66" spans="1:16" ht="57.75" x14ac:dyDescent="0.25">
      <c r="A66" s="30"/>
      <c r="B66" s="37" t="s">
        <v>112</v>
      </c>
      <c r="C66" s="30"/>
      <c r="D66" s="38">
        <v>1.5</v>
      </c>
      <c r="E66" s="39">
        <f>N66</f>
        <v>0</v>
      </c>
      <c r="F66" s="240"/>
      <c r="M66" s="191" t="b">
        <v>0</v>
      </c>
      <c r="N66" s="191">
        <f>IF(M66=TRUE, 1.5,0)</f>
        <v>0</v>
      </c>
    </row>
    <row r="67" spans="1:16" x14ac:dyDescent="0.25">
      <c r="A67" s="50">
        <v>1.1000000000000001</v>
      </c>
      <c r="B67" s="41" t="s">
        <v>12</v>
      </c>
      <c r="C67" s="28"/>
      <c r="D67" s="32"/>
      <c r="E67" s="33"/>
      <c r="F67" s="238"/>
    </row>
    <row r="68" spans="1:16" ht="29.25" x14ac:dyDescent="0.25">
      <c r="A68" s="26"/>
      <c r="B68" s="34" t="s">
        <v>113</v>
      </c>
      <c r="C68" s="26"/>
      <c r="D68" s="42"/>
      <c r="E68" s="43"/>
      <c r="F68" s="239"/>
    </row>
    <row r="69" spans="1:16" x14ac:dyDescent="0.25">
      <c r="A69" s="26"/>
      <c r="B69" s="20"/>
      <c r="C69" s="26"/>
      <c r="D69" s="42"/>
      <c r="E69" s="43"/>
      <c r="F69" s="239"/>
    </row>
    <row r="70" spans="1:16" ht="36" customHeight="1" x14ac:dyDescent="0.25">
      <c r="A70" s="26"/>
      <c r="B70" s="27" t="s">
        <v>114</v>
      </c>
      <c r="C70" s="26"/>
      <c r="D70" s="42">
        <v>0.5</v>
      </c>
      <c r="E70" s="43">
        <f>N70</f>
        <v>0</v>
      </c>
      <c r="F70" s="239"/>
      <c r="M70" s="191" t="b">
        <v>0</v>
      </c>
      <c r="N70" s="191">
        <f>IF(M70=TRUE, 0.5,0)</f>
        <v>0</v>
      </c>
    </row>
    <row r="71" spans="1:16" ht="29.25" x14ac:dyDescent="0.25">
      <c r="A71" s="26"/>
      <c r="B71" s="27" t="s">
        <v>115</v>
      </c>
      <c r="C71" s="26"/>
      <c r="D71" s="42">
        <v>0.5</v>
      </c>
      <c r="E71" s="43">
        <f>N71</f>
        <v>0</v>
      </c>
      <c r="F71" s="239"/>
      <c r="M71" s="191" t="b">
        <v>0</v>
      </c>
      <c r="N71" s="191">
        <f>IF(M71=TRUE, 0.5,0)</f>
        <v>0</v>
      </c>
    </row>
    <row r="72" spans="1:16" x14ac:dyDescent="0.25">
      <c r="A72" s="26"/>
      <c r="B72" s="51" t="s">
        <v>116</v>
      </c>
      <c r="C72" s="26"/>
      <c r="D72" s="243">
        <v>1.5</v>
      </c>
      <c r="E72" s="249">
        <f>SUM(M72:M73)</f>
        <v>0</v>
      </c>
      <c r="F72" s="239"/>
      <c r="M72" s="191">
        <f>MAX(N75:N76)</f>
        <v>0</v>
      </c>
    </row>
    <row r="73" spans="1:16" x14ac:dyDescent="0.25">
      <c r="A73" s="26"/>
      <c r="B73" s="29" t="s">
        <v>117</v>
      </c>
      <c r="C73" s="199"/>
      <c r="D73" s="243"/>
      <c r="E73" s="249"/>
      <c r="F73" s="239"/>
      <c r="M73" s="191">
        <f>IF(C74=0,0,IF(C74&gt;=10,1,IF(C74/C73&gt;=0.01,1,0)))</f>
        <v>0</v>
      </c>
    </row>
    <row r="74" spans="1:16" x14ac:dyDescent="0.25">
      <c r="A74" s="26"/>
      <c r="B74" s="29" t="s">
        <v>118</v>
      </c>
      <c r="C74" s="199"/>
      <c r="D74" s="243"/>
      <c r="E74" s="249"/>
      <c r="F74" s="239"/>
    </row>
    <row r="75" spans="1:16" x14ac:dyDescent="0.25">
      <c r="A75" s="26"/>
      <c r="B75" s="40" t="s">
        <v>119</v>
      </c>
      <c r="C75" s="199"/>
      <c r="D75" s="243"/>
      <c r="E75" s="249"/>
      <c r="F75" s="239"/>
      <c r="M75" s="191">
        <f>IF(C75&gt;0,0.5,0)</f>
        <v>0</v>
      </c>
      <c r="N75" s="191">
        <f>M75</f>
        <v>0</v>
      </c>
    </row>
    <row r="76" spans="1:16" ht="29.25" x14ac:dyDescent="0.25">
      <c r="A76" s="26"/>
      <c r="B76" s="40" t="s">
        <v>452</v>
      </c>
      <c r="C76" s="287"/>
      <c r="D76" s="234"/>
      <c r="E76" s="235"/>
      <c r="F76" s="239"/>
      <c r="M76" s="191" t="b">
        <v>0</v>
      </c>
      <c r="N76" s="191">
        <f>IF(M76=TRUE, 0.5,0)</f>
        <v>0</v>
      </c>
    </row>
    <row r="77" spans="1:16" x14ac:dyDescent="0.25">
      <c r="A77" s="26"/>
      <c r="B77" s="29"/>
      <c r="C77" s="52"/>
      <c r="D77" s="42"/>
      <c r="E77" s="43"/>
      <c r="F77" s="239"/>
    </row>
    <row r="78" spans="1:16" x14ac:dyDescent="0.25">
      <c r="A78" s="26"/>
      <c r="B78" s="53" t="s">
        <v>120</v>
      </c>
      <c r="C78" s="52"/>
      <c r="D78" s="243">
        <v>1.5</v>
      </c>
      <c r="E78" s="245">
        <f>IF(C79=0,0,MAX(P78:P81)+N81)</f>
        <v>0</v>
      </c>
      <c r="F78" s="239"/>
      <c r="O78" s="191">
        <f>C79/1500*2</f>
        <v>0</v>
      </c>
      <c r="P78" s="191">
        <f>IF(C80&gt;=O78,0.5,0)</f>
        <v>0.5</v>
      </c>
    </row>
    <row r="79" spans="1:16" ht="17.25" x14ac:dyDescent="0.25">
      <c r="A79" s="26"/>
      <c r="B79" s="29" t="s">
        <v>370</v>
      </c>
      <c r="C79" s="225">
        <f>Summary!B5</f>
        <v>0</v>
      </c>
      <c r="D79" s="243"/>
      <c r="E79" s="245"/>
      <c r="F79" s="239"/>
    </row>
    <row r="80" spans="1:16" x14ac:dyDescent="0.25">
      <c r="A80" s="26"/>
      <c r="B80" s="29" t="s">
        <v>121</v>
      </c>
      <c r="C80" s="188"/>
      <c r="D80" s="243"/>
      <c r="E80" s="245"/>
      <c r="F80" s="239"/>
      <c r="O80" s="191">
        <f>C79/1500*3</f>
        <v>0</v>
      </c>
      <c r="P80" s="191">
        <f>IF(C80&gt;=O80,1,0)</f>
        <v>1</v>
      </c>
    </row>
    <row r="81" spans="1:16" x14ac:dyDescent="0.25">
      <c r="A81" s="26"/>
      <c r="B81" s="29" t="s">
        <v>122</v>
      </c>
      <c r="C81" s="52"/>
      <c r="D81" s="244"/>
      <c r="E81" s="246"/>
      <c r="F81" s="240"/>
      <c r="M81" s="191" t="b">
        <v>0</v>
      </c>
      <c r="N81" s="191">
        <f>IF(OR(C79=0,C80=0),0,IF(M81=TRUE,0.5,0))</f>
        <v>0</v>
      </c>
      <c r="P81" s="191">
        <f>IF(C80&gt;=50,1,0)</f>
        <v>0</v>
      </c>
    </row>
    <row r="82" spans="1:16" x14ac:dyDescent="0.25">
      <c r="A82" s="50">
        <v>1.1100000000000001</v>
      </c>
      <c r="B82" s="41" t="s">
        <v>14</v>
      </c>
      <c r="C82" s="28"/>
      <c r="D82" s="32"/>
      <c r="E82" s="33"/>
      <c r="F82" s="238"/>
    </row>
    <row r="83" spans="1:16" ht="29.25" x14ac:dyDescent="0.25">
      <c r="A83" s="26"/>
      <c r="B83" s="54" t="s">
        <v>133</v>
      </c>
      <c r="C83" s="26"/>
      <c r="D83" s="42"/>
      <c r="E83" s="43"/>
      <c r="F83" s="239"/>
    </row>
    <row r="84" spans="1:16" ht="63" customHeight="1" x14ac:dyDescent="0.25">
      <c r="A84" s="55" t="s">
        <v>97</v>
      </c>
      <c r="B84" s="45" t="s">
        <v>136</v>
      </c>
      <c r="C84" s="26"/>
      <c r="D84" s="42">
        <v>1</v>
      </c>
      <c r="E84" s="43">
        <f>IF(M84=TRUE, 1,0)</f>
        <v>0</v>
      </c>
      <c r="F84" s="239"/>
      <c r="M84" s="191" t="b">
        <v>0</v>
      </c>
      <c r="N84" s="191">
        <f>IF(M84=TRUE, 1,0)</f>
        <v>0</v>
      </c>
    </row>
    <row r="85" spans="1:16" x14ac:dyDescent="0.25">
      <c r="A85" s="44" t="s">
        <v>100</v>
      </c>
      <c r="B85" s="46" t="s">
        <v>137</v>
      </c>
      <c r="C85" s="26"/>
      <c r="D85" s="243">
        <v>2</v>
      </c>
      <c r="E85" s="245">
        <f>N86+N87</f>
        <v>0</v>
      </c>
      <c r="F85" s="239"/>
    </row>
    <row r="86" spans="1:16" ht="29.25" x14ac:dyDescent="0.25">
      <c r="A86" s="26"/>
      <c r="B86" s="34" t="s">
        <v>134</v>
      </c>
      <c r="C86" s="26"/>
      <c r="D86" s="243"/>
      <c r="E86" s="245"/>
      <c r="F86" s="239"/>
      <c r="M86" s="191" t="b">
        <v>0</v>
      </c>
      <c r="N86" s="191">
        <f>IF(AND(M86=TRUE, C88&gt;0), 1,0)</f>
        <v>0</v>
      </c>
    </row>
    <row r="87" spans="1:16" ht="29.25" x14ac:dyDescent="0.25">
      <c r="A87" s="26"/>
      <c r="B87" s="34" t="s">
        <v>135</v>
      </c>
      <c r="C87" s="26"/>
      <c r="D87" s="243"/>
      <c r="E87" s="245"/>
      <c r="F87" s="239"/>
      <c r="M87" s="191" t="b">
        <v>0</v>
      </c>
      <c r="N87" s="191">
        <f>IF(AND(M87=TRUE, C89&gt;0), 1,0)</f>
        <v>0</v>
      </c>
    </row>
    <row r="88" spans="1:16" x14ac:dyDescent="0.25">
      <c r="A88" s="26"/>
      <c r="B88" s="40" t="s">
        <v>389</v>
      </c>
      <c r="C88" s="188"/>
      <c r="D88" s="243"/>
      <c r="E88" s="245"/>
      <c r="F88" s="239"/>
    </row>
    <row r="89" spans="1:16" x14ac:dyDescent="0.25">
      <c r="A89" s="26"/>
      <c r="B89" s="40" t="s">
        <v>390</v>
      </c>
      <c r="C89" s="188"/>
      <c r="D89" s="201"/>
      <c r="E89" s="200"/>
      <c r="F89" s="239"/>
    </row>
    <row r="90" spans="1:16" x14ac:dyDescent="0.25">
      <c r="A90" s="44" t="s">
        <v>104</v>
      </c>
      <c r="B90" s="46" t="s">
        <v>138</v>
      </c>
      <c r="C90" s="26"/>
      <c r="D90" s="243">
        <v>2</v>
      </c>
      <c r="E90" s="245">
        <f>N91+N92</f>
        <v>0</v>
      </c>
      <c r="F90" s="239"/>
    </row>
    <row r="91" spans="1:16" ht="29.25" x14ac:dyDescent="0.25">
      <c r="A91" s="26"/>
      <c r="B91" s="34" t="s">
        <v>134</v>
      </c>
      <c r="C91" s="26"/>
      <c r="D91" s="243"/>
      <c r="E91" s="245"/>
      <c r="F91" s="239"/>
      <c r="M91" s="191" t="b">
        <v>0</v>
      </c>
      <c r="N91" s="191">
        <f>IF(AND(M91=TRUE, C93&gt;0), 1,0)</f>
        <v>0</v>
      </c>
    </row>
    <row r="92" spans="1:16" ht="29.25" x14ac:dyDescent="0.25">
      <c r="A92" s="26"/>
      <c r="B92" s="34" t="s">
        <v>135</v>
      </c>
      <c r="C92" s="207"/>
      <c r="D92" s="243"/>
      <c r="E92" s="245"/>
      <c r="F92" s="239"/>
      <c r="M92" s="191" t="b">
        <v>0</v>
      </c>
      <c r="N92" s="191">
        <f>IF(AND(M92=TRUE, C94&gt;0), 1,0)</f>
        <v>0</v>
      </c>
    </row>
    <row r="93" spans="1:16" x14ac:dyDescent="0.25">
      <c r="A93" s="26"/>
      <c r="B93" s="40" t="s">
        <v>389</v>
      </c>
      <c r="C93" s="188"/>
      <c r="D93" s="201"/>
      <c r="E93" s="200"/>
      <c r="F93" s="239"/>
    </row>
    <row r="94" spans="1:16" x14ac:dyDescent="0.25">
      <c r="A94" s="26"/>
      <c r="B94" s="40" t="s">
        <v>390</v>
      </c>
      <c r="C94" s="188"/>
      <c r="D94" s="201"/>
      <c r="E94" s="200"/>
      <c r="F94" s="239"/>
    </row>
    <row r="95" spans="1:16" x14ac:dyDescent="0.25">
      <c r="A95" s="44" t="s">
        <v>123</v>
      </c>
      <c r="B95" s="56" t="s">
        <v>139</v>
      </c>
      <c r="C95" s="26"/>
      <c r="D95" s="42"/>
      <c r="E95" s="43"/>
      <c r="F95" s="239"/>
    </row>
    <row r="96" spans="1:16" ht="57.75" x14ac:dyDescent="0.25">
      <c r="A96" s="30"/>
      <c r="B96" s="57" t="s">
        <v>140</v>
      </c>
      <c r="C96" s="30"/>
      <c r="D96" s="38">
        <v>1</v>
      </c>
      <c r="E96" s="39">
        <f t="shared" ref="E96" si="3">IF(M96=TRUE, 1,0)</f>
        <v>0</v>
      </c>
      <c r="F96" s="240"/>
      <c r="M96" s="191" t="b">
        <v>0</v>
      </c>
      <c r="N96" s="191">
        <f t="shared" ref="N96" si="4">IF(M96=TRUE, 1,0)</f>
        <v>0</v>
      </c>
    </row>
  </sheetData>
  <sheetProtection algorithmName="SHA-512" hashValue="G7WBAdCRwkrmPaDjUiEE1uFyexMnTrckbqJ73aRCgcYO0ZdzXpQaWHGkqU1dclzOqnH6sPP1md8abPe010JXjg==" saltValue="2lnhgS2eiW76cI8y1RtvpQ==" spinCount="100000" sheet="1" objects="1" scenarios="1"/>
  <mergeCells count="41">
    <mergeCell ref="E90:E92"/>
    <mergeCell ref="D90:D92"/>
    <mergeCell ref="D78:D81"/>
    <mergeCell ref="E78:E81"/>
    <mergeCell ref="D58:D61"/>
    <mergeCell ref="E58:E61"/>
    <mergeCell ref="E72:E75"/>
    <mergeCell ref="D72:D75"/>
    <mergeCell ref="D85:D88"/>
    <mergeCell ref="E85:E88"/>
    <mergeCell ref="D49:D54"/>
    <mergeCell ref="E49:E54"/>
    <mergeCell ref="D45:D47"/>
    <mergeCell ref="E45:E47"/>
    <mergeCell ref="D41:D44"/>
    <mergeCell ref="E41:E44"/>
    <mergeCell ref="D38:D40"/>
    <mergeCell ref="E38:E40"/>
    <mergeCell ref="D23:D25"/>
    <mergeCell ref="E23:E25"/>
    <mergeCell ref="D29:D32"/>
    <mergeCell ref="E29:E32"/>
    <mergeCell ref="F82:F96"/>
    <mergeCell ref="F67:F81"/>
    <mergeCell ref="F55:F66"/>
    <mergeCell ref="F36:F54"/>
    <mergeCell ref="F33:F35"/>
    <mergeCell ref="F28:F32"/>
    <mergeCell ref="C3:D3"/>
    <mergeCell ref="C4:D4"/>
    <mergeCell ref="F8:F11"/>
    <mergeCell ref="F26:F27"/>
    <mergeCell ref="F22:F25"/>
    <mergeCell ref="F18:F21"/>
    <mergeCell ref="F12:F17"/>
    <mergeCell ref="D13:D17"/>
    <mergeCell ref="E13:E17"/>
    <mergeCell ref="D8:D11"/>
    <mergeCell ref="E8:E11"/>
    <mergeCell ref="D19:D21"/>
    <mergeCell ref="E19:E21"/>
  </mergeCells>
  <conditionalFormatting sqref="C4:D4">
    <cfRule type="expression" dxfId="20" priority="1">
      <formula>$N$4=0</formula>
    </cfRule>
    <cfRule type="expression" dxfId="19" priority="2">
      <formula>$N$4=1</formula>
    </cfRule>
  </conditionalFormatting>
  <dataValidations count="11">
    <dataValidation type="whole" allowBlank="1" showInputMessage="1" showErrorMessage="1" sqref="C73:C76" xr:uid="{00000000-0002-0000-0100-000000000000}">
      <formula1>0</formula1>
      <formula2>9999</formula2>
    </dataValidation>
    <dataValidation type="whole" allowBlank="1" showInputMessage="1" showErrorMessage="1" sqref="C35" xr:uid="{00000000-0002-0000-0100-000001000000}">
      <formula1>0</formula1>
      <formula2>100</formula2>
    </dataValidation>
    <dataValidation type="decimal" allowBlank="1" showInputMessage="1" showErrorMessage="1" sqref="C40" xr:uid="{00000000-0002-0000-0100-000002000000}">
      <formula1>0</formula1>
      <formula2>9999999</formula2>
    </dataValidation>
    <dataValidation type="whole" allowBlank="1" showInputMessage="1" showErrorMessage="1" sqref="C80" xr:uid="{00000000-0002-0000-0100-000003000000}">
      <formula1>0</formula1>
      <formula2>999999999</formula2>
    </dataValidation>
    <dataValidation type="decimal" allowBlank="1" showInputMessage="1" showErrorMessage="1" sqref="C43:C44 C79" xr:uid="{00000000-0002-0000-0100-000004000000}">
      <formula1>0</formula1>
      <formula2>99999999</formula2>
    </dataValidation>
    <dataValidation type="decimal" allowBlank="1" showInputMessage="1" showErrorMessage="1" sqref="C30" xr:uid="{00000000-0002-0000-0100-000005000000}">
      <formula1>0</formula1>
      <formula2>99999999999</formula2>
    </dataValidation>
    <dataValidation type="decimal" allowBlank="1" showInputMessage="1" showErrorMessage="1" sqref="C31" xr:uid="{00000000-0002-0000-0100-000006000000}">
      <formula1>0</formula1>
      <formula2>9999999999999</formula2>
    </dataValidation>
    <dataValidation type="decimal" allowBlank="1" showInputMessage="1" showErrorMessage="1" sqref="C94 C89" xr:uid="{00000000-0002-0000-0100-000007000000}">
      <formula1>0</formula1>
      <formula2>0.25</formula2>
    </dataValidation>
    <dataValidation type="decimal" allowBlank="1" showInputMessage="1" showErrorMessage="1" sqref="C47" xr:uid="{00000000-0002-0000-0100-000008000000}">
      <formula1>0</formula1>
      <formula2>999999999</formula2>
    </dataValidation>
    <dataValidation type="decimal" allowBlank="1" showInputMessage="1" showErrorMessage="1" sqref="C88 C93" xr:uid="{00000000-0002-0000-0100-000009000000}">
      <formula1>0</formula1>
      <formula2>0.65</formula2>
    </dataValidation>
    <dataValidation type="decimal" allowBlank="1" showInputMessage="1" showErrorMessage="1" sqref="C61" xr:uid="{00000000-0002-0000-0100-00000B000000}">
      <formula1>0</formula1>
      <formula2>9999999999999990000</formula2>
    </dataValidation>
  </dataValidations>
  <pageMargins left="0.7" right="0.7" top="0.75" bottom="0.75" header="0.3" footer="0.3"/>
  <pageSetup paperSize="9" scale="53" orientation="portrait" r:id="rId1"/>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locked="0" defaultSize="0" autoFill="0" autoLine="0" autoPict="0">
                <anchor moveWithCells="1">
                  <from>
                    <xdr:col>2</xdr:col>
                    <xdr:colOff>400050</xdr:colOff>
                    <xdr:row>7</xdr:row>
                    <xdr:rowOff>552450</xdr:rowOff>
                  </from>
                  <to>
                    <xdr:col>2</xdr:col>
                    <xdr:colOff>1219200</xdr:colOff>
                    <xdr:row>9</xdr:row>
                    <xdr:rowOff>28575</xdr:rowOff>
                  </to>
                </anchor>
              </controlPr>
            </control>
          </mc:Choice>
        </mc:AlternateContent>
        <mc:AlternateContent xmlns:mc="http://schemas.openxmlformats.org/markup-compatibility/2006">
          <mc:Choice Requires="x14">
            <control shapeId="2060" r:id="rId5" name="Check Box 12">
              <controlPr locked="0" defaultSize="0" autoFill="0" autoLine="0" autoPict="0" altText="">
                <anchor moveWithCells="1">
                  <from>
                    <xdr:col>2</xdr:col>
                    <xdr:colOff>409575</xdr:colOff>
                    <xdr:row>8</xdr:row>
                    <xdr:rowOff>171450</xdr:rowOff>
                  </from>
                  <to>
                    <xdr:col>2</xdr:col>
                    <xdr:colOff>1076325</xdr:colOff>
                    <xdr:row>10</xdr:row>
                    <xdr:rowOff>19050</xdr:rowOff>
                  </to>
                </anchor>
              </controlPr>
            </control>
          </mc:Choice>
        </mc:AlternateContent>
        <mc:AlternateContent xmlns:mc="http://schemas.openxmlformats.org/markup-compatibility/2006">
          <mc:Choice Requires="x14">
            <control shapeId="2061" r:id="rId6" name="Check Box 13">
              <controlPr locked="0" defaultSize="0" autoFill="0" autoLine="0" autoPict="0" altText="">
                <anchor moveWithCells="1">
                  <from>
                    <xdr:col>2</xdr:col>
                    <xdr:colOff>409575</xdr:colOff>
                    <xdr:row>9</xdr:row>
                    <xdr:rowOff>161925</xdr:rowOff>
                  </from>
                  <to>
                    <xdr:col>2</xdr:col>
                    <xdr:colOff>1266825</xdr:colOff>
                    <xdr:row>11</xdr:row>
                    <xdr:rowOff>0</xdr:rowOff>
                  </to>
                </anchor>
              </controlPr>
            </control>
          </mc:Choice>
        </mc:AlternateContent>
        <mc:AlternateContent xmlns:mc="http://schemas.openxmlformats.org/markup-compatibility/2006">
          <mc:Choice Requires="x14">
            <control shapeId="2062" r:id="rId7" name="Check Box 14">
              <controlPr defaultSize="0" autoFill="0" autoLine="0" autoPict="0" altText="">
                <anchor moveWithCells="1">
                  <from>
                    <xdr:col>2</xdr:col>
                    <xdr:colOff>447675</xdr:colOff>
                    <xdr:row>12</xdr:row>
                    <xdr:rowOff>361950</xdr:rowOff>
                  </from>
                  <to>
                    <xdr:col>2</xdr:col>
                    <xdr:colOff>1314450</xdr:colOff>
                    <xdr:row>14</xdr:row>
                    <xdr:rowOff>19050</xdr:rowOff>
                  </to>
                </anchor>
              </controlPr>
            </control>
          </mc:Choice>
        </mc:AlternateContent>
        <mc:AlternateContent xmlns:mc="http://schemas.openxmlformats.org/markup-compatibility/2006">
          <mc:Choice Requires="x14">
            <control shapeId="2063" r:id="rId8" name="Check Box 15">
              <controlPr locked="0" defaultSize="0" autoFill="0" autoLine="0" autoPict="0" altText="">
                <anchor moveWithCells="1">
                  <from>
                    <xdr:col>2</xdr:col>
                    <xdr:colOff>447675</xdr:colOff>
                    <xdr:row>13</xdr:row>
                    <xdr:rowOff>180975</xdr:rowOff>
                  </from>
                  <to>
                    <xdr:col>2</xdr:col>
                    <xdr:colOff>1314450</xdr:colOff>
                    <xdr:row>15</xdr:row>
                    <xdr:rowOff>19050</xdr:rowOff>
                  </to>
                </anchor>
              </controlPr>
            </control>
          </mc:Choice>
        </mc:AlternateContent>
        <mc:AlternateContent xmlns:mc="http://schemas.openxmlformats.org/markup-compatibility/2006">
          <mc:Choice Requires="x14">
            <control shapeId="2064" r:id="rId9" name="Check Box 16">
              <controlPr locked="0" defaultSize="0" autoFill="0" autoLine="0" autoPict="0" altText="">
                <anchor moveWithCells="1">
                  <from>
                    <xdr:col>2</xdr:col>
                    <xdr:colOff>447675</xdr:colOff>
                    <xdr:row>14</xdr:row>
                    <xdr:rowOff>180975</xdr:rowOff>
                  </from>
                  <to>
                    <xdr:col>2</xdr:col>
                    <xdr:colOff>1314450</xdr:colOff>
                    <xdr:row>16</xdr:row>
                    <xdr:rowOff>19050</xdr:rowOff>
                  </to>
                </anchor>
              </controlPr>
            </control>
          </mc:Choice>
        </mc:AlternateContent>
        <mc:AlternateContent xmlns:mc="http://schemas.openxmlformats.org/markup-compatibility/2006">
          <mc:Choice Requires="x14">
            <control shapeId="2065" r:id="rId10" name="Check Box 17">
              <controlPr locked="0" defaultSize="0" autoFill="0" autoLine="0" autoPict="0" altText="">
                <anchor moveWithCells="1">
                  <from>
                    <xdr:col>2</xdr:col>
                    <xdr:colOff>457200</xdr:colOff>
                    <xdr:row>15</xdr:row>
                    <xdr:rowOff>180975</xdr:rowOff>
                  </from>
                  <to>
                    <xdr:col>2</xdr:col>
                    <xdr:colOff>1323975</xdr:colOff>
                    <xdr:row>17</xdr:row>
                    <xdr:rowOff>19050</xdr:rowOff>
                  </to>
                </anchor>
              </controlPr>
            </control>
          </mc:Choice>
        </mc:AlternateContent>
        <mc:AlternateContent xmlns:mc="http://schemas.openxmlformats.org/markup-compatibility/2006">
          <mc:Choice Requires="x14">
            <control shapeId="2066" r:id="rId11" name="Check Box 18">
              <controlPr locked="0" defaultSize="0" autoFill="0" autoLine="0" autoPict="0" altText="">
                <anchor moveWithCells="1">
                  <from>
                    <xdr:col>2</xdr:col>
                    <xdr:colOff>438150</xdr:colOff>
                    <xdr:row>18</xdr:row>
                    <xdr:rowOff>552450</xdr:rowOff>
                  </from>
                  <to>
                    <xdr:col>2</xdr:col>
                    <xdr:colOff>1304925</xdr:colOff>
                    <xdr:row>20</xdr:row>
                    <xdr:rowOff>9525</xdr:rowOff>
                  </to>
                </anchor>
              </controlPr>
            </control>
          </mc:Choice>
        </mc:AlternateContent>
        <mc:AlternateContent xmlns:mc="http://schemas.openxmlformats.org/markup-compatibility/2006">
          <mc:Choice Requires="x14">
            <control shapeId="2067" r:id="rId12" name="Check Box 19">
              <controlPr locked="0" defaultSize="0" autoFill="0" autoLine="0" autoPict="0" altText="">
                <anchor moveWithCells="1">
                  <from>
                    <xdr:col>2</xdr:col>
                    <xdr:colOff>438150</xdr:colOff>
                    <xdr:row>20</xdr:row>
                    <xdr:rowOff>76200</xdr:rowOff>
                  </from>
                  <to>
                    <xdr:col>2</xdr:col>
                    <xdr:colOff>828675</xdr:colOff>
                    <xdr:row>20</xdr:row>
                    <xdr:rowOff>352425</xdr:rowOff>
                  </to>
                </anchor>
              </controlPr>
            </control>
          </mc:Choice>
        </mc:AlternateContent>
        <mc:AlternateContent xmlns:mc="http://schemas.openxmlformats.org/markup-compatibility/2006">
          <mc:Choice Requires="x14">
            <control shapeId="2068" r:id="rId13" name="Check Box 20">
              <controlPr locked="0" defaultSize="0" autoFill="0" autoLine="0" autoPict="0" altText="">
                <anchor moveWithCells="1">
                  <from>
                    <xdr:col>2</xdr:col>
                    <xdr:colOff>428625</xdr:colOff>
                    <xdr:row>22</xdr:row>
                    <xdr:rowOff>352425</xdr:rowOff>
                  </from>
                  <to>
                    <xdr:col>2</xdr:col>
                    <xdr:colOff>1295400</xdr:colOff>
                    <xdr:row>24</xdr:row>
                    <xdr:rowOff>9525</xdr:rowOff>
                  </to>
                </anchor>
              </controlPr>
            </control>
          </mc:Choice>
        </mc:AlternateContent>
        <mc:AlternateContent xmlns:mc="http://schemas.openxmlformats.org/markup-compatibility/2006">
          <mc:Choice Requires="x14">
            <control shapeId="2069" r:id="rId14" name="Check Box 21">
              <controlPr locked="0" defaultSize="0" autoFill="0" autoLine="0" autoPict="0" altText="">
                <anchor moveWithCells="1">
                  <from>
                    <xdr:col>2</xdr:col>
                    <xdr:colOff>438150</xdr:colOff>
                    <xdr:row>23</xdr:row>
                    <xdr:rowOff>171450</xdr:rowOff>
                  </from>
                  <to>
                    <xdr:col>2</xdr:col>
                    <xdr:colOff>1304925</xdr:colOff>
                    <xdr:row>25</xdr:row>
                    <xdr:rowOff>9525</xdr:rowOff>
                  </to>
                </anchor>
              </controlPr>
            </control>
          </mc:Choice>
        </mc:AlternateContent>
        <mc:AlternateContent xmlns:mc="http://schemas.openxmlformats.org/markup-compatibility/2006">
          <mc:Choice Requires="x14">
            <control shapeId="2070" r:id="rId15" name="Check Box 22">
              <controlPr locked="0" defaultSize="0" autoFill="0" autoLine="0" autoPict="0" altText="">
                <anchor moveWithCells="1">
                  <from>
                    <xdr:col>2</xdr:col>
                    <xdr:colOff>438150</xdr:colOff>
                    <xdr:row>26</xdr:row>
                    <xdr:rowOff>66675</xdr:rowOff>
                  </from>
                  <to>
                    <xdr:col>2</xdr:col>
                    <xdr:colOff>771525</xdr:colOff>
                    <xdr:row>26</xdr:row>
                    <xdr:rowOff>323850</xdr:rowOff>
                  </to>
                </anchor>
              </controlPr>
            </control>
          </mc:Choice>
        </mc:AlternateContent>
        <mc:AlternateContent xmlns:mc="http://schemas.openxmlformats.org/markup-compatibility/2006">
          <mc:Choice Requires="x14">
            <control shapeId="2071" r:id="rId16" name="Check Box 23">
              <controlPr locked="0" defaultSize="0" autoFill="0" autoLine="0" autoPict="0" altText="">
                <anchor moveWithCells="1">
                  <from>
                    <xdr:col>2</xdr:col>
                    <xdr:colOff>447675</xdr:colOff>
                    <xdr:row>28</xdr:row>
                    <xdr:rowOff>171450</xdr:rowOff>
                  </from>
                  <to>
                    <xdr:col>2</xdr:col>
                    <xdr:colOff>847725</xdr:colOff>
                    <xdr:row>28</xdr:row>
                    <xdr:rowOff>466725</xdr:rowOff>
                  </to>
                </anchor>
              </controlPr>
            </control>
          </mc:Choice>
        </mc:AlternateContent>
        <mc:AlternateContent xmlns:mc="http://schemas.openxmlformats.org/markup-compatibility/2006">
          <mc:Choice Requires="x14">
            <control shapeId="2072" r:id="rId17" name="Check Box 24">
              <controlPr locked="0" defaultSize="0" autoFill="0" autoLine="0" autoPict="0" altText="">
                <anchor moveWithCells="1">
                  <from>
                    <xdr:col>2</xdr:col>
                    <xdr:colOff>409575</xdr:colOff>
                    <xdr:row>49</xdr:row>
                    <xdr:rowOff>95250</xdr:rowOff>
                  </from>
                  <to>
                    <xdr:col>2</xdr:col>
                    <xdr:colOff>1276350</xdr:colOff>
                    <xdr:row>50</xdr:row>
                    <xdr:rowOff>9525</xdr:rowOff>
                  </to>
                </anchor>
              </controlPr>
            </control>
          </mc:Choice>
        </mc:AlternateContent>
        <mc:AlternateContent xmlns:mc="http://schemas.openxmlformats.org/markup-compatibility/2006">
          <mc:Choice Requires="x14">
            <control shapeId="2073" r:id="rId18" name="Check Box 25">
              <controlPr locked="0" defaultSize="0" autoFill="0" autoLine="0" autoPict="0" altText="">
                <anchor moveWithCells="1">
                  <from>
                    <xdr:col>2</xdr:col>
                    <xdr:colOff>419100</xdr:colOff>
                    <xdr:row>50</xdr:row>
                    <xdr:rowOff>180975</xdr:rowOff>
                  </from>
                  <to>
                    <xdr:col>2</xdr:col>
                    <xdr:colOff>1285875</xdr:colOff>
                    <xdr:row>52</xdr:row>
                    <xdr:rowOff>19050</xdr:rowOff>
                  </to>
                </anchor>
              </controlPr>
            </control>
          </mc:Choice>
        </mc:AlternateContent>
        <mc:AlternateContent xmlns:mc="http://schemas.openxmlformats.org/markup-compatibility/2006">
          <mc:Choice Requires="x14">
            <control shapeId="2074" r:id="rId19" name="Check Box 26">
              <controlPr locked="0" defaultSize="0" autoFill="0" autoLine="0" autoPict="0" altText="">
                <anchor moveWithCells="1">
                  <from>
                    <xdr:col>2</xdr:col>
                    <xdr:colOff>428625</xdr:colOff>
                    <xdr:row>51</xdr:row>
                    <xdr:rowOff>180975</xdr:rowOff>
                  </from>
                  <to>
                    <xdr:col>2</xdr:col>
                    <xdr:colOff>1295400</xdr:colOff>
                    <xdr:row>53</xdr:row>
                    <xdr:rowOff>19050</xdr:rowOff>
                  </to>
                </anchor>
              </controlPr>
            </control>
          </mc:Choice>
        </mc:AlternateContent>
        <mc:AlternateContent xmlns:mc="http://schemas.openxmlformats.org/markup-compatibility/2006">
          <mc:Choice Requires="x14">
            <control shapeId="2075" r:id="rId20" name="Check Box 27">
              <controlPr locked="0" defaultSize="0" autoFill="0" autoLine="0" autoPict="0" altText="">
                <anchor moveWithCells="1">
                  <from>
                    <xdr:col>2</xdr:col>
                    <xdr:colOff>428625</xdr:colOff>
                    <xdr:row>52</xdr:row>
                    <xdr:rowOff>161925</xdr:rowOff>
                  </from>
                  <to>
                    <xdr:col>2</xdr:col>
                    <xdr:colOff>1295400</xdr:colOff>
                    <xdr:row>54</xdr:row>
                    <xdr:rowOff>0</xdr:rowOff>
                  </to>
                </anchor>
              </controlPr>
            </control>
          </mc:Choice>
        </mc:AlternateContent>
        <mc:AlternateContent xmlns:mc="http://schemas.openxmlformats.org/markup-compatibility/2006">
          <mc:Choice Requires="x14">
            <control shapeId="2077" r:id="rId21" name="Check Box 29">
              <controlPr locked="0" defaultSize="0" autoFill="0" autoLine="0" autoPict="0" altText="">
                <anchor moveWithCells="1">
                  <from>
                    <xdr:col>2</xdr:col>
                    <xdr:colOff>409575</xdr:colOff>
                    <xdr:row>62</xdr:row>
                    <xdr:rowOff>161925</xdr:rowOff>
                  </from>
                  <to>
                    <xdr:col>2</xdr:col>
                    <xdr:colOff>704850</xdr:colOff>
                    <xdr:row>63</xdr:row>
                    <xdr:rowOff>0</xdr:rowOff>
                  </to>
                </anchor>
              </controlPr>
            </control>
          </mc:Choice>
        </mc:AlternateContent>
        <mc:AlternateContent xmlns:mc="http://schemas.openxmlformats.org/markup-compatibility/2006">
          <mc:Choice Requires="x14">
            <control shapeId="2078" r:id="rId22" name="Check Box 30">
              <controlPr locked="0" defaultSize="0" autoFill="0" autoLine="0" autoPict="0" altText="">
                <anchor moveWithCells="1">
                  <from>
                    <xdr:col>2</xdr:col>
                    <xdr:colOff>409575</xdr:colOff>
                    <xdr:row>65</xdr:row>
                    <xdr:rowOff>266700</xdr:rowOff>
                  </from>
                  <to>
                    <xdr:col>2</xdr:col>
                    <xdr:colOff>685800</xdr:colOff>
                    <xdr:row>66</xdr:row>
                    <xdr:rowOff>0</xdr:rowOff>
                  </to>
                </anchor>
              </controlPr>
            </control>
          </mc:Choice>
        </mc:AlternateContent>
        <mc:AlternateContent xmlns:mc="http://schemas.openxmlformats.org/markup-compatibility/2006">
          <mc:Choice Requires="x14">
            <control shapeId="2079" r:id="rId23" name="Check Box 31">
              <controlPr locked="0" defaultSize="0" autoFill="0" autoLine="0" autoPict="0" altText="">
                <anchor moveWithCells="1">
                  <from>
                    <xdr:col>1</xdr:col>
                    <xdr:colOff>3857625</xdr:colOff>
                    <xdr:row>58</xdr:row>
                    <xdr:rowOff>180975</xdr:rowOff>
                  </from>
                  <to>
                    <xdr:col>2</xdr:col>
                    <xdr:colOff>152400</xdr:colOff>
                    <xdr:row>60</xdr:row>
                    <xdr:rowOff>19050</xdr:rowOff>
                  </to>
                </anchor>
              </controlPr>
            </control>
          </mc:Choice>
        </mc:AlternateContent>
        <mc:AlternateContent xmlns:mc="http://schemas.openxmlformats.org/markup-compatibility/2006">
          <mc:Choice Requires="x14">
            <control shapeId="2080" r:id="rId24" name="Check Box 32">
              <controlPr locked="0" defaultSize="0" autoFill="0" autoLine="0" autoPict="0" altText="">
                <anchor moveWithCells="1">
                  <from>
                    <xdr:col>1</xdr:col>
                    <xdr:colOff>4048125</xdr:colOff>
                    <xdr:row>59</xdr:row>
                    <xdr:rowOff>180975</xdr:rowOff>
                  </from>
                  <to>
                    <xdr:col>1</xdr:col>
                    <xdr:colOff>4429125</xdr:colOff>
                    <xdr:row>61</xdr:row>
                    <xdr:rowOff>0</xdr:rowOff>
                  </to>
                </anchor>
              </controlPr>
            </control>
          </mc:Choice>
        </mc:AlternateContent>
        <mc:AlternateContent xmlns:mc="http://schemas.openxmlformats.org/markup-compatibility/2006">
          <mc:Choice Requires="x14">
            <control shapeId="2081" r:id="rId25" name="Check Box 33">
              <controlPr locked="0" defaultSize="0" autoFill="0" autoLine="0" autoPict="0" altText="">
                <anchor moveWithCells="1">
                  <from>
                    <xdr:col>2</xdr:col>
                    <xdr:colOff>409575</xdr:colOff>
                    <xdr:row>69</xdr:row>
                    <xdr:rowOff>66675</xdr:rowOff>
                  </from>
                  <to>
                    <xdr:col>2</xdr:col>
                    <xdr:colOff>866775</xdr:colOff>
                    <xdr:row>70</xdr:row>
                    <xdr:rowOff>0</xdr:rowOff>
                  </to>
                </anchor>
              </controlPr>
            </control>
          </mc:Choice>
        </mc:AlternateContent>
        <mc:AlternateContent xmlns:mc="http://schemas.openxmlformats.org/markup-compatibility/2006">
          <mc:Choice Requires="x14">
            <control shapeId="2082" r:id="rId26" name="Check Box 34">
              <controlPr locked="0" defaultSize="0" autoFill="0" autoLine="0" autoPict="0" altText="">
                <anchor moveWithCells="1">
                  <from>
                    <xdr:col>2</xdr:col>
                    <xdr:colOff>419100</xdr:colOff>
                    <xdr:row>70</xdr:row>
                    <xdr:rowOff>85725</xdr:rowOff>
                  </from>
                  <to>
                    <xdr:col>2</xdr:col>
                    <xdr:colOff>1285875</xdr:colOff>
                    <xdr:row>70</xdr:row>
                    <xdr:rowOff>304800</xdr:rowOff>
                  </to>
                </anchor>
              </controlPr>
            </control>
          </mc:Choice>
        </mc:AlternateContent>
        <mc:AlternateContent xmlns:mc="http://schemas.openxmlformats.org/markup-compatibility/2006">
          <mc:Choice Requires="x14">
            <control shapeId="2083" r:id="rId27" name="Check Box 35">
              <controlPr locked="0" defaultSize="0" autoFill="0" autoLine="0" autoPict="0" altText="">
                <anchor moveWithCells="1">
                  <from>
                    <xdr:col>2</xdr:col>
                    <xdr:colOff>428625</xdr:colOff>
                    <xdr:row>79</xdr:row>
                    <xdr:rowOff>171450</xdr:rowOff>
                  </from>
                  <to>
                    <xdr:col>2</xdr:col>
                    <xdr:colOff>1295400</xdr:colOff>
                    <xdr:row>81</xdr:row>
                    <xdr:rowOff>9525</xdr:rowOff>
                  </to>
                </anchor>
              </controlPr>
            </control>
          </mc:Choice>
        </mc:AlternateContent>
        <mc:AlternateContent xmlns:mc="http://schemas.openxmlformats.org/markup-compatibility/2006">
          <mc:Choice Requires="x14">
            <control shapeId="2084" r:id="rId28" name="Check Box 36">
              <controlPr locked="0" defaultSize="0" autoFill="0" autoLine="0" autoPict="0" altText="">
                <anchor moveWithCells="1">
                  <from>
                    <xdr:col>2</xdr:col>
                    <xdr:colOff>438150</xdr:colOff>
                    <xdr:row>83</xdr:row>
                    <xdr:rowOff>190500</xdr:rowOff>
                  </from>
                  <to>
                    <xdr:col>2</xdr:col>
                    <xdr:colOff>771525</xdr:colOff>
                    <xdr:row>83</xdr:row>
                    <xdr:rowOff>561975</xdr:rowOff>
                  </to>
                </anchor>
              </controlPr>
            </control>
          </mc:Choice>
        </mc:AlternateContent>
        <mc:AlternateContent xmlns:mc="http://schemas.openxmlformats.org/markup-compatibility/2006">
          <mc:Choice Requires="x14">
            <control shapeId="2085" r:id="rId29" name="Check Box 37">
              <controlPr locked="0" defaultSize="0" autoFill="0" autoLine="0" autoPict="0" altText="">
                <anchor moveWithCells="1">
                  <from>
                    <xdr:col>2</xdr:col>
                    <xdr:colOff>447675</xdr:colOff>
                    <xdr:row>85</xdr:row>
                    <xdr:rowOff>85725</xdr:rowOff>
                  </from>
                  <to>
                    <xdr:col>2</xdr:col>
                    <xdr:colOff>723900</xdr:colOff>
                    <xdr:row>86</xdr:row>
                    <xdr:rowOff>0</xdr:rowOff>
                  </to>
                </anchor>
              </controlPr>
            </control>
          </mc:Choice>
        </mc:AlternateContent>
        <mc:AlternateContent xmlns:mc="http://schemas.openxmlformats.org/markup-compatibility/2006">
          <mc:Choice Requires="x14">
            <control shapeId="2086" r:id="rId30" name="Check Box 38">
              <controlPr locked="0" defaultSize="0" autoFill="0" autoLine="0" autoPict="0" altText="">
                <anchor moveWithCells="1">
                  <from>
                    <xdr:col>2</xdr:col>
                    <xdr:colOff>447675</xdr:colOff>
                    <xdr:row>86</xdr:row>
                    <xdr:rowOff>57150</xdr:rowOff>
                  </from>
                  <to>
                    <xdr:col>2</xdr:col>
                    <xdr:colOff>1314450</xdr:colOff>
                    <xdr:row>86</xdr:row>
                    <xdr:rowOff>276225</xdr:rowOff>
                  </to>
                </anchor>
              </controlPr>
            </control>
          </mc:Choice>
        </mc:AlternateContent>
        <mc:AlternateContent xmlns:mc="http://schemas.openxmlformats.org/markup-compatibility/2006">
          <mc:Choice Requires="x14">
            <control shapeId="2087" r:id="rId31" name="Check Box 39">
              <controlPr locked="0" defaultSize="0" autoFill="0" autoLine="0" autoPict="0" altText="">
                <anchor moveWithCells="1">
                  <from>
                    <xdr:col>2</xdr:col>
                    <xdr:colOff>447675</xdr:colOff>
                    <xdr:row>90</xdr:row>
                    <xdr:rowOff>57150</xdr:rowOff>
                  </from>
                  <to>
                    <xdr:col>2</xdr:col>
                    <xdr:colOff>809625</xdr:colOff>
                    <xdr:row>91</xdr:row>
                    <xdr:rowOff>0</xdr:rowOff>
                  </to>
                </anchor>
              </controlPr>
            </control>
          </mc:Choice>
        </mc:AlternateContent>
        <mc:AlternateContent xmlns:mc="http://schemas.openxmlformats.org/markup-compatibility/2006">
          <mc:Choice Requires="x14">
            <control shapeId="2088" r:id="rId32" name="Check Box 40">
              <controlPr locked="0" defaultSize="0" autoFill="0" autoLine="0" autoPict="0" altText="">
                <anchor moveWithCells="1">
                  <from>
                    <xdr:col>2</xdr:col>
                    <xdr:colOff>447675</xdr:colOff>
                    <xdr:row>91</xdr:row>
                    <xdr:rowOff>57150</xdr:rowOff>
                  </from>
                  <to>
                    <xdr:col>2</xdr:col>
                    <xdr:colOff>1314450</xdr:colOff>
                    <xdr:row>91</xdr:row>
                    <xdr:rowOff>276225</xdr:rowOff>
                  </to>
                </anchor>
              </controlPr>
            </control>
          </mc:Choice>
        </mc:AlternateContent>
        <mc:AlternateContent xmlns:mc="http://schemas.openxmlformats.org/markup-compatibility/2006">
          <mc:Choice Requires="x14">
            <control shapeId="2089" r:id="rId33" name="Check Box 41">
              <controlPr locked="0" defaultSize="0" autoFill="0" autoLine="0" autoPict="0" altText="">
                <anchor moveWithCells="1">
                  <from>
                    <xdr:col>2</xdr:col>
                    <xdr:colOff>457200</xdr:colOff>
                    <xdr:row>95</xdr:row>
                    <xdr:rowOff>171450</xdr:rowOff>
                  </from>
                  <to>
                    <xdr:col>2</xdr:col>
                    <xdr:colOff>885825</xdr:colOff>
                    <xdr:row>95</xdr:row>
                    <xdr:rowOff>571500</xdr:rowOff>
                  </to>
                </anchor>
              </controlPr>
            </control>
          </mc:Choice>
        </mc:AlternateContent>
        <mc:AlternateContent xmlns:mc="http://schemas.openxmlformats.org/markup-compatibility/2006">
          <mc:Choice Requires="x14">
            <control shapeId="2090" r:id="rId34" name="Check Box 42">
              <controlPr locked="0" defaultSize="0" autoFill="0" autoLine="0" autoPict="0">
                <anchor moveWithCells="1">
                  <from>
                    <xdr:col>2</xdr:col>
                    <xdr:colOff>1304925</xdr:colOff>
                    <xdr:row>2</xdr:row>
                    <xdr:rowOff>171450</xdr:rowOff>
                  </from>
                  <to>
                    <xdr:col>3</xdr:col>
                    <xdr:colOff>676275</xdr:colOff>
                    <xdr:row>4</xdr:row>
                    <xdr:rowOff>9525</xdr:rowOff>
                  </to>
                </anchor>
              </controlPr>
            </control>
          </mc:Choice>
        </mc:AlternateContent>
        <mc:AlternateContent xmlns:mc="http://schemas.openxmlformats.org/markup-compatibility/2006">
          <mc:Choice Requires="x14">
            <control shapeId="2091" r:id="rId35" name="Check Box 43">
              <controlPr locked="0" defaultSize="0" autoFill="0" autoLine="0" autoPict="0" altText="">
                <anchor moveWithCells="1">
                  <from>
                    <xdr:col>2</xdr:col>
                    <xdr:colOff>419100</xdr:colOff>
                    <xdr:row>75</xdr:row>
                    <xdr:rowOff>85725</xdr:rowOff>
                  </from>
                  <to>
                    <xdr:col>2</xdr:col>
                    <xdr:colOff>1285875</xdr:colOff>
                    <xdr:row>75</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83"/>
  <sheetViews>
    <sheetView view="pageBreakPreview" zoomScale="70" zoomScaleNormal="70" zoomScaleSheetLayoutView="70" workbookViewId="0">
      <pane ySplit="1" topLeftCell="A20" activePane="bottomLeft" state="frozen"/>
      <selection pane="bottomLeft" activeCell="C12" sqref="C12"/>
    </sheetView>
  </sheetViews>
  <sheetFormatPr defaultRowHeight="15" x14ac:dyDescent="0.25"/>
  <cols>
    <col min="1" max="1" width="9.140625" style="1"/>
    <col min="2" max="2" width="65.28515625" style="1" customWidth="1"/>
    <col min="3" max="3" width="23.42578125" style="1" customWidth="1"/>
    <col min="4" max="4" width="16.85546875" style="1" customWidth="1"/>
    <col min="5" max="5" width="15" style="1" customWidth="1"/>
    <col min="6" max="6" width="34.42578125" style="1" customWidth="1"/>
    <col min="7" max="7" width="9.140625" hidden="1" customWidth="1"/>
    <col min="8" max="21" width="9.140625" style="191" hidden="1" customWidth="1"/>
    <col min="22" max="23" width="9.140625" hidden="1" customWidth="1"/>
    <col min="24" max="24" width="0" hidden="1" customWidth="1"/>
  </cols>
  <sheetData>
    <row r="1" spans="1:17" x14ac:dyDescent="0.25">
      <c r="A1" s="101" t="s">
        <v>69</v>
      </c>
      <c r="B1" s="101"/>
      <c r="C1" s="101" t="s">
        <v>2</v>
      </c>
      <c r="D1" s="148">
        <f>M83</f>
        <v>0</v>
      </c>
    </row>
    <row r="2" spans="1:17" x14ac:dyDescent="0.25">
      <c r="A2" s="22"/>
      <c r="B2" s="22"/>
    </row>
    <row r="3" spans="1:17" x14ac:dyDescent="0.25">
      <c r="A3" s="150" t="s">
        <v>371</v>
      </c>
      <c r="B3" s="127"/>
      <c r="C3" s="254" t="s">
        <v>376</v>
      </c>
      <c r="D3" s="254"/>
    </row>
    <row r="4" spans="1:17" x14ac:dyDescent="0.25">
      <c r="A4" s="58">
        <v>1</v>
      </c>
      <c r="B4" s="4" t="s">
        <v>374</v>
      </c>
      <c r="C4" s="255"/>
      <c r="D4" s="255"/>
      <c r="M4" s="191" t="b">
        <v>0</v>
      </c>
      <c r="N4" s="191">
        <f>IF(M4=TRUE,1,0)</f>
        <v>0</v>
      </c>
    </row>
    <row r="5" spans="1:17" x14ac:dyDescent="0.25">
      <c r="A5" s="58">
        <v>2</v>
      </c>
      <c r="B5" s="4" t="s">
        <v>372</v>
      </c>
      <c r="C5" s="255"/>
      <c r="D5" s="255"/>
      <c r="M5" s="191" t="b">
        <v>0</v>
      </c>
      <c r="N5" s="191">
        <f>IF(M5=TRUE,1,0)</f>
        <v>0</v>
      </c>
    </row>
    <row r="6" spans="1:17" x14ac:dyDescent="0.25">
      <c r="A6" s="58">
        <v>3</v>
      </c>
      <c r="B6" s="4" t="s">
        <v>373</v>
      </c>
      <c r="C6" s="255"/>
      <c r="D6" s="255"/>
      <c r="M6" s="191" t="b">
        <v>0</v>
      </c>
      <c r="N6" s="191">
        <f>IF(M6=TRUE,1,0)</f>
        <v>0</v>
      </c>
    </row>
    <row r="7" spans="1:17" ht="29.25" x14ac:dyDescent="0.25">
      <c r="A7" s="58">
        <v>5</v>
      </c>
      <c r="B7" s="102" t="s">
        <v>375</v>
      </c>
      <c r="C7" s="255"/>
      <c r="D7" s="255"/>
      <c r="M7" s="191" t="b">
        <v>0</v>
      </c>
      <c r="N7" s="191">
        <f>IF(M7=TRUE,1,0)</f>
        <v>0</v>
      </c>
    </row>
    <row r="9" spans="1:17" ht="28.5" x14ac:dyDescent="0.25">
      <c r="A9" s="92">
        <v>2.1</v>
      </c>
      <c r="B9" s="93" t="s">
        <v>19</v>
      </c>
      <c r="C9" s="98" t="s">
        <v>79</v>
      </c>
      <c r="D9" s="99" t="s">
        <v>102</v>
      </c>
      <c r="E9" s="100" t="s">
        <v>103</v>
      </c>
      <c r="F9" s="103" t="s">
        <v>326</v>
      </c>
    </row>
    <row r="10" spans="1:17" ht="29.25" x14ac:dyDescent="0.25">
      <c r="A10" s="26"/>
      <c r="B10" s="27" t="s">
        <v>144</v>
      </c>
      <c r="C10" s="257"/>
      <c r="D10" s="256">
        <v>2</v>
      </c>
      <c r="E10" s="245">
        <f>IF(C12=0,0,IF(C12&lt;45,2,IF(C12&lt;50,1,0)))</f>
        <v>0</v>
      </c>
      <c r="F10" s="250"/>
    </row>
    <row r="11" spans="1:17" ht="57.75" customHeight="1" x14ac:dyDescent="0.25">
      <c r="A11" s="26"/>
      <c r="B11" s="20"/>
      <c r="C11" s="258"/>
      <c r="D11" s="256"/>
      <c r="E11" s="245"/>
      <c r="F11" s="250"/>
    </row>
    <row r="12" spans="1:17" ht="17.25" x14ac:dyDescent="0.25">
      <c r="A12" s="30"/>
      <c r="B12" s="31" t="s">
        <v>333</v>
      </c>
      <c r="C12" s="188"/>
      <c r="D12" s="36"/>
      <c r="E12" s="59"/>
      <c r="F12" s="250"/>
    </row>
    <row r="13" spans="1:17" x14ac:dyDescent="0.25">
      <c r="A13" s="92">
        <v>2.2000000000000002</v>
      </c>
      <c r="B13" s="93" t="s">
        <v>30</v>
      </c>
      <c r="C13" s="21"/>
      <c r="D13" s="21"/>
      <c r="E13" s="60"/>
      <c r="F13" s="250"/>
      <c r="Q13" s="191" t="s">
        <v>146</v>
      </c>
    </row>
    <row r="14" spans="1:17" ht="17.25" x14ac:dyDescent="0.25">
      <c r="A14" s="85"/>
      <c r="B14" s="40" t="s">
        <v>365</v>
      </c>
      <c r="C14" s="225">
        <f>Summary!B5</f>
        <v>0</v>
      </c>
      <c r="D14" s="20"/>
      <c r="E14" s="62"/>
      <c r="F14" s="250"/>
      <c r="Q14" s="191" t="s">
        <v>437</v>
      </c>
    </row>
    <row r="15" spans="1:17" ht="17.25" x14ac:dyDescent="0.25">
      <c r="A15" s="85"/>
      <c r="B15" s="40" t="s">
        <v>366</v>
      </c>
      <c r="C15" s="188"/>
      <c r="D15" s="20"/>
      <c r="E15" s="62"/>
      <c r="F15" s="250"/>
      <c r="Q15" s="191" t="s">
        <v>438</v>
      </c>
    </row>
    <row r="16" spans="1:17" ht="150.75" customHeight="1" x14ac:dyDescent="0.25">
      <c r="A16" s="26"/>
      <c r="B16" s="20"/>
      <c r="C16" s="20"/>
      <c r="D16" s="243">
        <v>12</v>
      </c>
      <c r="E16" s="245">
        <f>L16</f>
        <v>0</v>
      </c>
      <c r="F16" s="250"/>
      <c r="H16" s="191">
        <f>(0.1/0.75)*100*0.6</f>
        <v>8</v>
      </c>
      <c r="K16" s="192">
        <f>'Control-tab'!I6</f>
        <v>0</v>
      </c>
      <c r="L16" s="191">
        <f>IF(C19=0,0,IF(K20=0,K16,IF(C21/N16&lt;0.1,K16,K16*C18/N16+K20*C21/N16)))</f>
        <v>0</v>
      </c>
      <c r="M16" s="192"/>
      <c r="N16" s="191">
        <f>C18+C21</f>
        <v>0</v>
      </c>
      <c r="Q16" s="191" t="s">
        <v>347</v>
      </c>
    </row>
    <row r="17" spans="1:15" ht="71.25" customHeight="1" x14ac:dyDescent="0.25">
      <c r="A17" s="26"/>
      <c r="B17" s="81" t="s">
        <v>362</v>
      </c>
      <c r="C17" s="70"/>
      <c r="D17" s="243"/>
      <c r="E17" s="245"/>
      <c r="F17" s="250"/>
      <c r="M17" s="191">
        <v>1</v>
      </c>
      <c r="O17" s="193"/>
    </row>
    <row r="18" spans="1:15" x14ac:dyDescent="0.25">
      <c r="A18" s="26"/>
      <c r="B18" s="29" t="s">
        <v>345</v>
      </c>
      <c r="C18" s="188"/>
      <c r="D18" s="243"/>
      <c r="E18" s="245"/>
      <c r="F18" s="250"/>
    </row>
    <row r="19" spans="1:15" x14ac:dyDescent="0.25">
      <c r="A19" s="26"/>
      <c r="B19" s="29" t="s">
        <v>145</v>
      </c>
      <c r="C19" s="188"/>
      <c r="D19" s="243"/>
      <c r="E19" s="245"/>
      <c r="F19" s="250"/>
      <c r="H19" s="191">
        <f>(0.75-0.65)/0.75*0.6*100</f>
        <v>7.9999999999999973</v>
      </c>
      <c r="M19" s="193"/>
    </row>
    <row r="20" spans="1:15" ht="66" customHeight="1" x14ac:dyDescent="0.25">
      <c r="A20" s="26"/>
      <c r="B20" s="81" t="s">
        <v>436</v>
      </c>
      <c r="C20" s="20"/>
      <c r="D20" s="243"/>
      <c r="E20" s="245"/>
      <c r="F20" s="250"/>
      <c r="K20" s="194">
        <f>'Control-tab'!I14</f>
        <v>0</v>
      </c>
      <c r="M20" s="191">
        <v>1</v>
      </c>
    </row>
    <row r="21" spans="1:15" x14ac:dyDescent="0.25">
      <c r="A21" s="26"/>
      <c r="B21" s="29" t="s">
        <v>344</v>
      </c>
      <c r="C21" s="188"/>
      <c r="D21" s="243"/>
      <c r="E21" s="245"/>
      <c r="F21" s="250"/>
    </row>
    <row r="22" spans="1:15" x14ac:dyDescent="0.25">
      <c r="A22" s="30"/>
      <c r="B22" s="31" t="s">
        <v>145</v>
      </c>
      <c r="C22" s="188"/>
      <c r="D22" s="244"/>
      <c r="E22" s="246"/>
      <c r="F22" s="250"/>
      <c r="M22" s="191" t="b">
        <f>IF(M18=1,0.6*N16,IF(M18=2,0.6*N17))</f>
        <v>0</v>
      </c>
    </row>
    <row r="23" spans="1:15" x14ac:dyDescent="0.25">
      <c r="A23" s="26"/>
      <c r="B23" s="46" t="s">
        <v>346</v>
      </c>
      <c r="C23" s="20"/>
      <c r="D23" s="243">
        <v>4</v>
      </c>
      <c r="E23" s="248">
        <f>M28</f>
        <v>0</v>
      </c>
      <c r="F23" s="250"/>
    </row>
    <row r="24" spans="1:15" x14ac:dyDescent="0.25">
      <c r="A24" s="26"/>
      <c r="B24" s="34" t="s">
        <v>348</v>
      </c>
      <c r="C24" s="20"/>
      <c r="D24" s="243"/>
      <c r="E24" s="245"/>
      <c r="F24" s="250"/>
    </row>
    <row r="25" spans="1:15" x14ac:dyDescent="0.25">
      <c r="A25" s="26"/>
      <c r="B25" s="40" t="s">
        <v>391</v>
      </c>
      <c r="C25" s="195"/>
      <c r="D25" s="243"/>
      <c r="E25" s="245"/>
      <c r="F25" s="250"/>
    </row>
    <row r="26" spans="1:15" ht="18" x14ac:dyDescent="0.3">
      <c r="A26" s="26"/>
      <c r="B26" s="40" t="s">
        <v>392</v>
      </c>
      <c r="C26" s="188"/>
      <c r="D26" s="243"/>
      <c r="E26" s="245"/>
      <c r="F26" s="250"/>
    </row>
    <row r="27" spans="1:15" ht="18" x14ac:dyDescent="0.3">
      <c r="A27" s="26"/>
      <c r="B27" s="40" t="s">
        <v>393</v>
      </c>
      <c r="C27" s="209"/>
      <c r="D27" s="243"/>
      <c r="E27" s="245"/>
      <c r="F27" s="250"/>
    </row>
    <row r="28" spans="1:15" x14ac:dyDescent="0.25">
      <c r="A28" s="30"/>
      <c r="B28" s="31" t="s">
        <v>343</v>
      </c>
      <c r="C28" s="226">
        <f>O28</f>
        <v>0</v>
      </c>
      <c r="D28" s="244"/>
      <c r="E28" s="246"/>
      <c r="F28" s="250"/>
      <c r="M28" s="191">
        <f>IF(OR(C26=0,C27=0),0,IF(0.14*C28&lt;=4,0.14*C28,4))</f>
        <v>0</v>
      </c>
      <c r="N28" s="191">
        <f>(0.28-C25)/0.28*100</f>
        <v>100</v>
      </c>
      <c r="O28" s="191">
        <f>IF(OR(C25&lt;=0,N28&lt;0),0,N28)</f>
        <v>0</v>
      </c>
    </row>
    <row r="29" spans="1:15" x14ac:dyDescent="0.25">
      <c r="A29" s="92">
        <v>2.2999999999999998</v>
      </c>
      <c r="B29" s="93" t="s">
        <v>141</v>
      </c>
      <c r="C29" s="20"/>
      <c r="D29" s="21"/>
      <c r="E29" s="60"/>
      <c r="F29" s="250"/>
    </row>
    <row r="30" spans="1:15" ht="43.5" x14ac:dyDescent="0.25">
      <c r="A30" s="26"/>
      <c r="B30" s="34" t="s">
        <v>338</v>
      </c>
      <c r="C30" s="20"/>
      <c r="D30" s="243">
        <v>17</v>
      </c>
      <c r="E30" s="249">
        <f>L39</f>
        <v>0</v>
      </c>
      <c r="F30" s="250"/>
    </row>
    <row r="31" spans="1:15" ht="17.25" x14ac:dyDescent="0.25">
      <c r="A31" s="26"/>
      <c r="B31" s="40" t="s">
        <v>365</v>
      </c>
      <c r="C31" s="11">
        <f>C14</f>
        <v>0</v>
      </c>
      <c r="D31" s="243"/>
      <c r="E31" s="249"/>
      <c r="F31" s="250"/>
    </row>
    <row r="32" spans="1:15" x14ac:dyDescent="0.25">
      <c r="A32" s="26"/>
      <c r="B32" s="40" t="s">
        <v>394</v>
      </c>
      <c r="C32" s="195"/>
      <c r="D32" s="243"/>
      <c r="E32" s="249"/>
      <c r="F32" s="250"/>
    </row>
    <row r="33" spans="1:14" x14ac:dyDescent="0.25">
      <c r="A33" s="26"/>
      <c r="B33" s="40" t="s">
        <v>395</v>
      </c>
      <c r="C33" s="195"/>
      <c r="D33" s="243"/>
      <c r="E33" s="249"/>
      <c r="F33" s="250"/>
    </row>
    <row r="34" spans="1:14" ht="17.25" x14ac:dyDescent="0.25">
      <c r="A34" s="26"/>
      <c r="B34" s="40" t="s">
        <v>367</v>
      </c>
      <c r="C34" s="225">
        <f>C32+C33</f>
        <v>0</v>
      </c>
      <c r="D34" s="243"/>
      <c r="E34" s="249"/>
      <c r="F34" s="250"/>
    </row>
    <row r="35" spans="1:14" x14ac:dyDescent="0.25">
      <c r="A35" s="26"/>
      <c r="B35" s="40" t="s">
        <v>440</v>
      </c>
      <c r="C35" s="227">
        <f>IF(OR(C34=0,C31=0),0,C34/C31*100)</f>
        <v>0</v>
      </c>
      <c r="D35" s="243"/>
      <c r="E35" s="249"/>
      <c r="F35" s="250"/>
    </row>
    <row r="36" spans="1:14" ht="51.75" customHeight="1" x14ac:dyDescent="0.25">
      <c r="A36" s="44" t="s">
        <v>97</v>
      </c>
      <c r="B36" s="45" t="s">
        <v>339</v>
      </c>
      <c r="C36" s="20"/>
      <c r="D36" s="243"/>
      <c r="E36" s="249"/>
      <c r="F36" s="250"/>
    </row>
    <row r="37" spans="1:14" x14ac:dyDescent="0.25">
      <c r="A37" s="44"/>
      <c r="B37" s="40" t="s">
        <v>368</v>
      </c>
      <c r="C37" s="20"/>
      <c r="D37" s="243"/>
      <c r="E37" s="249"/>
      <c r="F37" s="250"/>
      <c r="M37" s="191" t="b">
        <v>0</v>
      </c>
      <c r="N37" s="191">
        <f>IF(M37=TRUE,10,0)</f>
        <v>0</v>
      </c>
    </row>
    <row r="38" spans="1:14" ht="29.25" x14ac:dyDescent="0.25">
      <c r="A38" s="26"/>
      <c r="B38" s="40" t="s">
        <v>340</v>
      </c>
      <c r="C38" s="188"/>
      <c r="D38" s="243"/>
      <c r="E38" s="249"/>
      <c r="F38" s="250"/>
      <c r="M38" s="192">
        <f>IF(C34=0,0,IF(INT(C38/10)&lt;=7,INT(C38/10),7))+N37</f>
        <v>0</v>
      </c>
    </row>
    <row r="39" spans="1:14" x14ac:dyDescent="0.25">
      <c r="A39" s="44" t="s">
        <v>100</v>
      </c>
      <c r="B39" s="46" t="s">
        <v>341</v>
      </c>
      <c r="C39" s="20"/>
      <c r="D39" s="243"/>
      <c r="E39" s="249"/>
      <c r="F39" s="250"/>
      <c r="L39" s="191">
        <f>IF(OR(C31=0),0,IF(C34/31&lt;0.1,0,IF(C32&gt;C33,M38,IF(C32&lt;C33,M40,IF(C32=C33,MAX(M38:M40),0)))))</f>
        <v>0</v>
      </c>
    </row>
    <row r="40" spans="1:14" ht="130.5" customHeight="1" x14ac:dyDescent="0.25">
      <c r="A40" s="26"/>
      <c r="B40" s="64" t="s">
        <v>342</v>
      </c>
      <c r="C40" s="20"/>
      <c r="D40" s="243"/>
      <c r="E40" s="249"/>
      <c r="F40" s="250"/>
      <c r="M40" s="191">
        <f>IF(C41=0,0,IF(0.3*C42&lt;=16,0.3*C42,16))</f>
        <v>0</v>
      </c>
    </row>
    <row r="41" spans="1:14" ht="13.5" customHeight="1" x14ac:dyDescent="0.25">
      <c r="A41" s="26"/>
      <c r="B41" s="210" t="s">
        <v>396</v>
      </c>
      <c r="C41" s="188"/>
      <c r="D41" s="243"/>
      <c r="E41" s="249"/>
      <c r="F41" s="250"/>
    </row>
    <row r="42" spans="1:14" x14ac:dyDescent="0.25">
      <c r="A42" s="30"/>
      <c r="B42" s="31" t="s">
        <v>343</v>
      </c>
      <c r="C42" s="188"/>
      <c r="D42" s="244"/>
      <c r="E42" s="259"/>
      <c r="F42" s="250"/>
    </row>
    <row r="43" spans="1:14" x14ac:dyDescent="0.25">
      <c r="A43" s="92">
        <v>2.4</v>
      </c>
      <c r="B43" s="93" t="s">
        <v>22</v>
      </c>
      <c r="C43" s="21"/>
      <c r="D43" s="21"/>
      <c r="E43" s="60"/>
      <c r="F43" s="250"/>
    </row>
    <row r="44" spans="1:14" ht="47.25" customHeight="1" x14ac:dyDescent="0.25">
      <c r="A44" s="26"/>
      <c r="B44" s="34" t="s">
        <v>149</v>
      </c>
      <c r="C44" s="20"/>
      <c r="D44" s="243">
        <v>6</v>
      </c>
      <c r="E44" s="245">
        <f>M45+M46</f>
        <v>0</v>
      </c>
      <c r="F44" s="250"/>
    </row>
    <row r="45" spans="1:14" x14ac:dyDescent="0.25">
      <c r="A45" s="26"/>
      <c r="B45" s="34" t="s">
        <v>256</v>
      </c>
      <c r="C45" s="188"/>
      <c r="D45" s="243"/>
      <c r="E45" s="245"/>
      <c r="F45" s="250"/>
      <c r="M45" s="191">
        <f>IF(0.1*C45&lt;=3,0.1*C45,3)</f>
        <v>0</v>
      </c>
    </row>
    <row r="46" spans="1:14" ht="29.25" x14ac:dyDescent="0.25">
      <c r="A46" s="30"/>
      <c r="B46" s="37" t="s">
        <v>150</v>
      </c>
      <c r="C46" s="188"/>
      <c r="D46" s="244"/>
      <c r="E46" s="246"/>
      <c r="F46" s="250"/>
      <c r="M46" s="191">
        <f>IF(0.1*C46&lt;=3,0.1*C46,3)</f>
        <v>0</v>
      </c>
    </row>
    <row r="47" spans="1:14" x14ac:dyDescent="0.25">
      <c r="A47" s="92">
        <v>2.5</v>
      </c>
      <c r="B47" s="93" t="s">
        <v>142</v>
      </c>
      <c r="C47" s="21"/>
      <c r="D47" s="21"/>
      <c r="E47" s="60"/>
      <c r="F47" s="250"/>
    </row>
    <row r="48" spans="1:14" ht="29.25" x14ac:dyDescent="0.25">
      <c r="A48" s="26"/>
      <c r="B48" s="34" t="s">
        <v>257</v>
      </c>
      <c r="C48" s="20"/>
      <c r="D48" s="243">
        <v>1.5</v>
      </c>
      <c r="E48" s="245">
        <f>N49+N50</f>
        <v>0</v>
      </c>
      <c r="F48" s="250"/>
    </row>
    <row r="49" spans="1:17" ht="43.5" x14ac:dyDescent="0.25">
      <c r="A49" s="26"/>
      <c r="B49" s="61" t="s">
        <v>258</v>
      </c>
      <c r="C49" s="20"/>
      <c r="D49" s="243"/>
      <c r="E49" s="245"/>
      <c r="F49" s="250"/>
      <c r="M49" s="191" t="b">
        <v>0</v>
      </c>
      <c r="N49" s="191">
        <f>IF(M49=TRUE,1,0)</f>
        <v>0</v>
      </c>
    </row>
    <row r="50" spans="1:17" x14ac:dyDescent="0.25">
      <c r="A50" s="30"/>
      <c r="B50" s="57" t="s">
        <v>259</v>
      </c>
      <c r="C50" s="36"/>
      <c r="D50" s="244"/>
      <c r="E50" s="246"/>
      <c r="F50" s="250"/>
      <c r="M50" s="191" t="b">
        <v>0</v>
      </c>
      <c r="N50" s="191">
        <f>IF(M50=TRUE,0.5,0)</f>
        <v>0</v>
      </c>
    </row>
    <row r="51" spans="1:17" x14ac:dyDescent="0.25">
      <c r="A51" s="92">
        <v>2.6</v>
      </c>
      <c r="B51" s="93" t="s">
        <v>41</v>
      </c>
      <c r="C51" s="21"/>
      <c r="D51" s="247">
        <v>2</v>
      </c>
      <c r="E51" s="262">
        <f>IF(NOT(N55=0),N55,MAX(N53:N54))</f>
        <v>0</v>
      </c>
      <c r="F51" s="251"/>
    </row>
    <row r="52" spans="1:17" ht="29.25" x14ac:dyDescent="0.25">
      <c r="A52" s="26"/>
      <c r="B52" s="61" t="s">
        <v>260</v>
      </c>
      <c r="C52" s="20"/>
      <c r="D52" s="243"/>
      <c r="E52" s="249"/>
      <c r="F52" s="252"/>
    </row>
    <row r="53" spans="1:17" ht="29.25" x14ac:dyDescent="0.25">
      <c r="A53" s="26"/>
      <c r="B53" s="40" t="s">
        <v>363</v>
      </c>
      <c r="C53" s="84"/>
      <c r="D53" s="243"/>
      <c r="E53" s="249"/>
      <c r="F53" s="252"/>
      <c r="M53" s="191" t="b">
        <v>0</v>
      </c>
      <c r="N53" s="191">
        <f>IF(M53=TRUE,1.5,0)</f>
        <v>0</v>
      </c>
    </row>
    <row r="54" spans="1:17" x14ac:dyDescent="0.25">
      <c r="A54" s="26"/>
      <c r="B54" s="29" t="s">
        <v>364</v>
      </c>
      <c r="C54" s="208"/>
      <c r="D54" s="243"/>
      <c r="E54" s="249"/>
      <c r="F54" s="252"/>
      <c r="M54" s="191" t="b">
        <v>0</v>
      </c>
      <c r="N54" s="191">
        <f>IF(M54=TRUE,2,0)</f>
        <v>0</v>
      </c>
    </row>
    <row r="55" spans="1:17" x14ac:dyDescent="0.25">
      <c r="A55" s="20"/>
      <c r="B55" s="29" t="s">
        <v>439</v>
      </c>
      <c r="C55" s="208"/>
      <c r="D55" s="243"/>
      <c r="E55" s="249"/>
      <c r="F55" s="252"/>
      <c r="M55" s="191" t="b">
        <v>0</v>
      </c>
      <c r="N55" s="191">
        <f>IF(OR(C56=0,C57=0),0,IF(M55=TRUE,C56/(C56+C57)*2+C57/(C56+C57)*1.5,0))</f>
        <v>0</v>
      </c>
    </row>
    <row r="56" spans="1:17" ht="17.25" x14ac:dyDescent="0.25">
      <c r="A56" s="26"/>
      <c r="B56" s="29" t="s">
        <v>397</v>
      </c>
      <c r="C56" s="188"/>
      <c r="D56" s="243"/>
      <c r="E56" s="249"/>
      <c r="F56" s="252"/>
    </row>
    <row r="57" spans="1:17" ht="17.25" x14ac:dyDescent="0.25">
      <c r="A57" s="26"/>
      <c r="B57" s="29" t="s">
        <v>398</v>
      </c>
      <c r="C57" s="188"/>
      <c r="D57" s="244"/>
      <c r="E57" s="259"/>
      <c r="F57" s="253"/>
    </row>
    <row r="58" spans="1:17" x14ac:dyDescent="0.25">
      <c r="A58" s="92">
        <v>2.7</v>
      </c>
      <c r="B58" s="93" t="s">
        <v>42</v>
      </c>
      <c r="C58" s="20"/>
      <c r="D58" s="21"/>
      <c r="E58" s="60"/>
      <c r="F58" s="250"/>
      <c r="Q58" s="191">
        <f>IF(AND(M60=TRUE,N60=TRUE),MIN(O60:P60),MAX(O60:P60))</f>
        <v>0</v>
      </c>
    </row>
    <row r="59" spans="1:17" ht="29.25" x14ac:dyDescent="0.25">
      <c r="A59" s="26"/>
      <c r="B59" s="34" t="s">
        <v>261</v>
      </c>
      <c r="C59" s="20"/>
      <c r="D59" s="243">
        <v>3</v>
      </c>
      <c r="E59" s="245">
        <f>O59</f>
        <v>0</v>
      </c>
      <c r="F59" s="250"/>
      <c r="O59" s="191">
        <f>IF(SUM(Q58:Q62)&lt;=3,SUM(Q58:Q62),3)</f>
        <v>0</v>
      </c>
      <c r="Q59" s="191">
        <f t="shared" ref="Q59:Q62" si="0">IF(AND(M61=TRUE,N61=TRUE),MIN(O61:P61),MAX(O61:P61))</f>
        <v>0</v>
      </c>
    </row>
    <row r="60" spans="1:17" x14ac:dyDescent="0.25">
      <c r="A60" s="26"/>
      <c r="B60" s="29" t="s">
        <v>244</v>
      </c>
      <c r="C60" s="20"/>
      <c r="D60" s="243"/>
      <c r="E60" s="245"/>
      <c r="F60" s="250"/>
      <c r="M60" s="191" t="b">
        <v>0</v>
      </c>
      <c r="N60" s="191" t="b">
        <v>0</v>
      </c>
      <c r="O60" s="191">
        <f>IF(M60=TRUE,1,0)</f>
        <v>0</v>
      </c>
      <c r="P60" s="191">
        <f>IF(N60=TRUE,0.5,0)</f>
        <v>0</v>
      </c>
      <c r="Q60" s="191">
        <f t="shared" si="0"/>
        <v>0</v>
      </c>
    </row>
    <row r="61" spans="1:17" x14ac:dyDescent="0.25">
      <c r="A61" s="26"/>
      <c r="B61" s="29" t="s">
        <v>245</v>
      </c>
      <c r="C61" s="20"/>
      <c r="D61" s="243"/>
      <c r="E61" s="245"/>
      <c r="F61" s="250"/>
      <c r="M61" s="191" t="b">
        <v>0</v>
      </c>
      <c r="N61" s="191" t="b">
        <v>0</v>
      </c>
      <c r="O61" s="191">
        <f t="shared" ref="O61:O64" si="1">IF(M61=TRUE,1,0)</f>
        <v>0</v>
      </c>
      <c r="P61" s="191">
        <f t="shared" ref="P61:P64" si="2">IF(N61=TRUE,0.5,0)</f>
        <v>0</v>
      </c>
      <c r="Q61" s="191">
        <f t="shared" si="0"/>
        <v>0</v>
      </c>
    </row>
    <row r="62" spans="1:17" x14ac:dyDescent="0.25">
      <c r="A62" s="26"/>
      <c r="B62" s="29" t="s">
        <v>246</v>
      </c>
      <c r="C62" s="20"/>
      <c r="D62" s="243"/>
      <c r="E62" s="245"/>
      <c r="F62" s="250"/>
      <c r="M62" s="191" t="b">
        <v>0</v>
      </c>
      <c r="N62" s="191" t="b">
        <v>0</v>
      </c>
      <c r="O62" s="191">
        <f t="shared" si="1"/>
        <v>0</v>
      </c>
      <c r="P62" s="191">
        <f t="shared" si="2"/>
        <v>0</v>
      </c>
      <c r="Q62" s="191">
        <f t="shared" si="0"/>
        <v>0</v>
      </c>
    </row>
    <row r="63" spans="1:17" x14ac:dyDescent="0.25">
      <c r="A63" s="26"/>
      <c r="B63" s="29" t="s">
        <v>247</v>
      </c>
      <c r="C63" s="20"/>
      <c r="D63" s="243"/>
      <c r="E63" s="245"/>
      <c r="F63" s="250"/>
      <c r="M63" s="191" t="b">
        <v>0</v>
      </c>
      <c r="N63" s="191" t="b">
        <v>0</v>
      </c>
      <c r="O63" s="191">
        <f t="shared" si="1"/>
        <v>0</v>
      </c>
      <c r="P63" s="191">
        <f t="shared" si="2"/>
        <v>0</v>
      </c>
    </row>
    <row r="64" spans="1:17" x14ac:dyDescent="0.25">
      <c r="A64" s="30"/>
      <c r="B64" s="31" t="s">
        <v>262</v>
      </c>
      <c r="C64" s="36"/>
      <c r="D64" s="244"/>
      <c r="E64" s="246"/>
      <c r="F64" s="250"/>
      <c r="M64" s="191" t="b">
        <v>0</v>
      </c>
      <c r="N64" s="191" t="b">
        <v>0</v>
      </c>
      <c r="O64" s="191">
        <f t="shared" si="1"/>
        <v>0</v>
      </c>
      <c r="P64" s="191">
        <f t="shared" si="2"/>
        <v>0</v>
      </c>
    </row>
    <row r="65" spans="1:14" x14ac:dyDescent="0.25">
      <c r="A65" s="92">
        <v>2.8</v>
      </c>
      <c r="B65" s="93" t="s">
        <v>143</v>
      </c>
      <c r="C65" s="21"/>
      <c r="D65" s="21"/>
      <c r="E65" s="60"/>
      <c r="F65" s="250"/>
    </row>
    <row r="66" spans="1:14" ht="29.25" x14ac:dyDescent="0.25">
      <c r="A66" s="26"/>
      <c r="B66" s="34" t="s">
        <v>263</v>
      </c>
      <c r="C66" s="20"/>
      <c r="D66" s="243">
        <v>2</v>
      </c>
      <c r="E66" s="245">
        <f>M66</f>
        <v>0</v>
      </c>
      <c r="F66" s="250"/>
      <c r="M66" s="191">
        <f>IF(C67&lt;=2,C67,2)</f>
        <v>0</v>
      </c>
    </row>
    <row r="67" spans="1:14" x14ac:dyDescent="0.25">
      <c r="A67" s="30"/>
      <c r="B67" s="31" t="s">
        <v>337</v>
      </c>
      <c r="C67" s="188"/>
      <c r="D67" s="244"/>
      <c r="E67" s="246"/>
      <c r="F67" s="250"/>
    </row>
    <row r="68" spans="1:14" x14ac:dyDescent="0.25">
      <c r="A68" s="92">
        <v>2.9</v>
      </c>
      <c r="B68" s="93" t="s">
        <v>44</v>
      </c>
      <c r="C68" s="21"/>
      <c r="D68" s="21"/>
      <c r="E68" s="60"/>
      <c r="F68" s="250"/>
    </row>
    <row r="69" spans="1:14" x14ac:dyDescent="0.25">
      <c r="A69" s="26"/>
      <c r="B69" s="20" t="s">
        <v>264</v>
      </c>
      <c r="C69" s="20"/>
      <c r="D69" s="20"/>
      <c r="E69" s="62"/>
      <c r="F69" s="250"/>
    </row>
    <row r="70" spans="1:14" x14ac:dyDescent="0.25">
      <c r="A70" s="44" t="s">
        <v>97</v>
      </c>
      <c r="B70" s="46" t="s">
        <v>265</v>
      </c>
      <c r="C70" s="20"/>
      <c r="D70" s="243">
        <v>1</v>
      </c>
      <c r="E70" s="245">
        <f>N71</f>
        <v>0</v>
      </c>
      <c r="F70" s="250"/>
    </row>
    <row r="71" spans="1:14" ht="57.75" x14ac:dyDescent="0.25">
      <c r="A71" s="26"/>
      <c r="B71" s="34" t="s">
        <v>266</v>
      </c>
      <c r="C71" s="20"/>
      <c r="D71" s="243"/>
      <c r="E71" s="245"/>
      <c r="F71" s="250"/>
      <c r="M71" s="191" t="b">
        <v>0</v>
      </c>
      <c r="N71" s="191">
        <f>IF(M71=TRUE,1,0)</f>
        <v>0</v>
      </c>
    </row>
    <row r="72" spans="1:14" x14ac:dyDescent="0.25">
      <c r="A72" s="44" t="s">
        <v>100</v>
      </c>
      <c r="B72" s="46" t="s">
        <v>267</v>
      </c>
      <c r="C72" s="20"/>
      <c r="D72" s="243">
        <v>1.5</v>
      </c>
      <c r="E72" s="245">
        <f>N74+N75+N76</f>
        <v>0</v>
      </c>
      <c r="F72" s="250"/>
    </row>
    <row r="73" spans="1:14" ht="86.25" x14ac:dyDescent="0.25">
      <c r="A73" s="26"/>
      <c r="B73" s="34" t="s">
        <v>268</v>
      </c>
      <c r="C73" s="20"/>
      <c r="D73" s="243"/>
      <c r="E73" s="245"/>
      <c r="F73" s="250"/>
    </row>
    <row r="74" spans="1:14" ht="42" customHeight="1" x14ac:dyDescent="0.25">
      <c r="A74" s="26"/>
      <c r="B74" s="63" t="s">
        <v>334</v>
      </c>
      <c r="C74" s="20"/>
      <c r="D74" s="243"/>
      <c r="E74" s="245"/>
      <c r="F74" s="250"/>
      <c r="M74" s="191" t="b">
        <v>0</v>
      </c>
      <c r="N74" s="191">
        <f>IF(M74=TRUE,0.5,0)</f>
        <v>0</v>
      </c>
    </row>
    <row r="75" spans="1:14" ht="39.75" customHeight="1" x14ac:dyDescent="0.25">
      <c r="A75" s="26"/>
      <c r="B75" s="34" t="s">
        <v>335</v>
      </c>
      <c r="C75" s="20"/>
      <c r="D75" s="243"/>
      <c r="E75" s="245"/>
      <c r="F75" s="250"/>
      <c r="M75" s="191" t="b">
        <v>0</v>
      </c>
      <c r="N75" s="191">
        <f t="shared" ref="N75:N76" si="3">IF(M75=TRUE,0.5,0)</f>
        <v>0</v>
      </c>
    </row>
    <row r="76" spans="1:14" ht="66.75" customHeight="1" x14ac:dyDescent="0.25">
      <c r="A76" s="26"/>
      <c r="B76" s="34" t="s">
        <v>336</v>
      </c>
      <c r="C76" s="20"/>
      <c r="D76" s="243"/>
      <c r="E76" s="245"/>
      <c r="F76" s="250"/>
      <c r="M76" s="191" t="b">
        <v>0</v>
      </c>
      <c r="N76" s="191">
        <f t="shared" si="3"/>
        <v>0</v>
      </c>
    </row>
    <row r="77" spans="1:14" x14ac:dyDescent="0.25">
      <c r="A77" s="44" t="s">
        <v>104</v>
      </c>
      <c r="B77" s="46" t="s">
        <v>269</v>
      </c>
      <c r="C77" s="20"/>
      <c r="D77" s="243">
        <v>4</v>
      </c>
      <c r="E77" s="260">
        <f>N80</f>
        <v>0</v>
      </c>
      <c r="F77" s="250"/>
    </row>
    <row r="78" spans="1:14" ht="45.75" customHeight="1" x14ac:dyDescent="0.25">
      <c r="A78" s="26"/>
      <c r="B78" s="34" t="s">
        <v>270</v>
      </c>
      <c r="C78" s="20"/>
      <c r="D78" s="243"/>
      <c r="E78" s="260"/>
      <c r="F78" s="250"/>
    </row>
    <row r="79" spans="1:14" ht="105" customHeight="1" x14ac:dyDescent="0.25">
      <c r="A79" s="26"/>
      <c r="B79" s="20"/>
      <c r="C79" s="20"/>
      <c r="D79" s="243"/>
      <c r="E79" s="260"/>
      <c r="F79" s="250"/>
    </row>
    <row r="80" spans="1:14" ht="17.25" x14ac:dyDescent="0.25">
      <c r="A80" s="26"/>
      <c r="B80" s="40" t="s">
        <v>399</v>
      </c>
      <c r="C80" s="188"/>
      <c r="D80" s="243"/>
      <c r="E80" s="260"/>
      <c r="F80" s="250"/>
      <c r="M80" s="191">
        <f>IF(C80=0,0,IF(C80&gt;=120,(C81/0.5),IF(C80&gt;=80,(C81/1),IF(C80&gt;=50,(C81/1.5),IF(C80&lt;50, (C81/2.5),0)))))</f>
        <v>0</v>
      </c>
      <c r="N80" s="191">
        <f>IF(M80&lt;=4,M80,4)</f>
        <v>0</v>
      </c>
    </row>
    <row r="81" spans="1:13" ht="29.25" x14ac:dyDescent="0.25">
      <c r="A81" s="30"/>
      <c r="B81" s="35" t="s">
        <v>271</v>
      </c>
      <c r="C81" s="188"/>
      <c r="D81" s="244"/>
      <c r="E81" s="261"/>
      <c r="F81" s="250"/>
    </row>
    <row r="82" spans="1:13" hidden="1" x14ac:dyDescent="0.25">
      <c r="M82" s="191">
        <f>E10+E44+E48+E51+E59+E66+E70+E72+E77</f>
        <v>0</v>
      </c>
    </row>
    <row r="83" spans="1:13" hidden="1" x14ac:dyDescent="0.25">
      <c r="M83" s="191">
        <f>IF(C14=0,0,IF(C34/C31&lt;0.1,M82+E16+E23,M82+(E16+E23)*C15/C14+E30*(1-C15/C14)))</f>
        <v>0</v>
      </c>
    </row>
  </sheetData>
  <sheetProtection algorithmName="SHA-512" hashValue="9vXwjClx3qXLKc6nIs0wGZjkq3fagmpCqTCTVRdN6HIa/QBmwujpcJUsVyXW/CC7A1a/CAntkuewcniICb3TBg==" saltValue="RmODNTFwsL2GY1BvItjwvA==" spinCount="100000" sheet="1" objects="1" scenarios="1"/>
  <mergeCells count="40">
    <mergeCell ref="D77:D81"/>
    <mergeCell ref="E77:E81"/>
    <mergeCell ref="D48:D50"/>
    <mergeCell ref="E48:E50"/>
    <mergeCell ref="D59:D64"/>
    <mergeCell ref="E59:E64"/>
    <mergeCell ref="D72:D76"/>
    <mergeCell ref="E72:E76"/>
    <mergeCell ref="D70:D71"/>
    <mergeCell ref="E70:E71"/>
    <mergeCell ref="D66:D67"/>
    <mergeCell ref="E66:E67"/>
    <mergeCell ref="D51:D57"/>
    <mergeCell ref="E51:E57"/>
    <mergeCell ref="D10:D11"/>
    <mergeCell ref="C10:C11"/>
    <mergeCell ref="E10:E11"/>
    <mergeCell ref="D44:D46"/>
    <mergeCell ref="E44:E46"/>
    <mergeCell ref="D30:D42"/>
    <mergeCell ref="D23:D28"/>
    <mergeCell ref="D16:D22"/>
    <mergeCell ref="E16:E22"/>
    <mergeCell ref="E23:E28"/>
    <mergeCell ref="E30:E42"/>
    <mergeCell ref="C3:D3"/>
    <mergeCell ref="C4:D4"/>
    <mergeCell ref="C5:D5"/>
    <mergeCell ref="C6:D6"/>
    <mergeCell ref="C7:D7"/>
    <mergeCell ref="F10:F12"/>
    <mergeCell ref="F13:F22"/>
    <mergeCell ref="F23:F28"/>
    <mergeCell ref="F29:F42"/>
    <mergeCell ref="F43:F46"/>
    <mergeCell ref="F47:F50"/>
    <mergeCell ref="F58:F64"/>
    <mergeCell ref="F65:F67"/>
    <mergeCell ref="F68:F81"/>
    <mergeCell ref="F51:F57"/>
  </mergeCells>
  <conditionalFormatting sqref="C8:F8">
    <cfRule type="expression" priority="10">
      <formula>$N$5=1</formula>
    </cfRule>
  </conditionalFormatting>
  <conditionalFormatting sqref="C4:D4">
    <cfRule type="expression" dxfId="18" priority="8">
      <formula>$N$4=1</formula>
    </cfRule>
    <cfRule type="expression" dxfId="17" priority="9">
      <formula>$N$4=0</formula>
    </cfRule>
  </conditionalFormatting>
  <conditionalFormatting sqref="C5:D5">
    <cfRule type="expression" dxfId="16" priority="6">
      <formula>$N$5=1</formula>
    </cfRule>
    <cfRule type="expression" dxfId="15" priority="7">
      <formula>$N$5=0</formula>
    </cfRule>
  </conditionalFormatting>
  <conditionalFormatting sqref="C6:D6">
    <cfRule type="expression" dxfId="14" priority="4">
      <formula>$N$6=0</formula>
    </cfRule>
    <cfRule type="expression" dxfId="13" priority="5">
      <formula>$N$6=1</formula>
    </cfRule>
  </conditionalFormatting>
  <conditionalFormatting sqref="C7:D7">
    <cfRule type="expression" dxfId="12" priority="2">
      <formula>$N$7=1</formula>
    </cfRule>
    <cfRule type="expression" dxfId="11" priority="3">
      <formula>$N$7=0</formula>
    </cfRule>
  </conditionalFormatting>
  <conditionalFormatting sqref="E29:E42">
    <cfRule type="expression" dxfId="10" priority="1">
      <formula>$C$35&lt;10</formula>
    </cfRule>
  </conditionalFormatting>
  <dataValidations count="7">
    <dataValidation allowBlank="1" showInputMessage="1" showErrorMessage="1" errorTitle="Invalid Entry" error="Please select from the list" promptTitle="Choose one from the list" prompt="Please choose one from the list" sqref="C17" xr:uid="{00000000-0002-0000-0200-000000000000}"/>
    <dataValidation type="decimal" allowBlank="1" showInputMessage="1" showErrorMessage="1" sqref="C12 C34" xr:uid="{00000000-0002-0000-0200-000001000000}">
      <formula1>0</formula1>
      <formula2>99999999999</formula2>
    </dataValidation>
    <dataValidation type="decimal" allowBlank="1" showInputMessage="1" showErrorMessage="1" sqref="C14:C15 C32:C33" xr:uid="{00000000-0002-0000-0200-000002000000}">
      <formula1>0</formula1>
      <formula2>99999999999999</formula2>
    </dataValidation>
    <dataValidation type="decimal" allowBlank="1" showInputMessage="1" showErrorMessage="1" sqref="C18:C19 C21:C22 C38 C26:C27" xr:uid="{00000000-0002-0000-0200-000003000000}">
      <formula1>0</formula1>
      <formula2>999999999999999</formula2>
    </dataValidation>
    <dataValidation type="decimal" allowBlank="1" showInputMessage="1" showErrorMessage="1" sqref="C28 C45:C46 C67 C81 C25 C41:C42" xr:uid="{00000000-0002-0000-0200-000004000000}">
      <formula1>0</formula1>
      <formula2>100</formula2>
    </dataValidation>
    <dataValidation type="decimal" allowBlank="1" showInputMessage="1" showErrorMessage="1" sqref="C80" xr:uid="{00000000-0002-0000-0200-000005000000}">
      <formula1>0</formula1>
      <formula2>9999999999999990</formula2>
    </dataValidation>
    <dataValidation type="decimal" allowBlank="1" showInputMessage="1" showErrorMessage="1" sqref="C56:C57" xr:uid="{00000000-0002-0000-0200-000006000000}">
      <formula1>0</formula1>
      <formula2>99999999999999900000</formula2>
    </dataValidation>
  </dataValidations>
  <pageMargins left="0.7" right="0.7" top="0.75" bottom="0.75" header="0.3" footer="0.3"/>
  <pageSetup paperSize="9" scale="53" orientation="portrait" r:id="rId1"/>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ltText="">
                <anchor moveWithCells="1">
                  <from>
                    <xdr:col>2</xdr:col>
                    <xdr:colOff>466725</xdr:colOff>
                    <xdr:row>48</xdr:row>
                    <xdr:rowOff>142875</xdr:rowOff>
                  </from>
                  <to>
                    <xdr:col>2</xdr:col>
                    <xdr:colOff>1333500</xdr:colOff>
                    <xdr:row>48</xdr:row>
                    <xdr:rowOff>361950</xdr:rowOff>
                  </to>
                </anchor>
              </controlPr>
            </control>
          </mc:Choice>
        </mc:AlternateContent>
        <mc:AlternateContent xmlns:mc="http://schemas.openxmlformats.org/markup-compatibility/2006">
          <mc:Choice Requires="x14">
            <control shapeId="3075" r:id="rId5" name="Check Box 3">
              <controlPr defaultSize="0" autoFill="0" autoLine="0" autoPict="0" altText="">
                <anchor moveWithCells="1">
                  <from>
                    <xdr:col>2</xdr:col>
                    <xdr:colOff>466725</xdr:colOff>
                    <xdr:row>48</xdr:row>
                    <xdr:rowOff>542925</xdr:rowOff>
                  </from>
                  <to>
                    <xdr:col>2</xdr:col>
                    <xdr:colOff>1333500</xdr:colOff>
                    <xdr:row>50</xdr:row>
                    <xdr:rowOff>19050</xdr:rowOff>
                  </to>
                </anchor>
              </controlPr>
            </control>
          </mc:Choice>
        </mc:AlternateContent>
        <mc:AlternateContent xmlns:mc="http://schemas.openxmlformats.org/markup-compatibility/2006">
          <mc:Choice Requires="x14">
            <control shapeId="3076" r:id="rId6" name="Check Box 4">
              <controlPr defaultSize="0" autoFill="0" autoLine="0" autoPict="0" altText="">
                <anchor moveWithCells="1">
                  <from>
                    <xdr:col>2</xdr:col>
                    <xdr:colOff>295275</xdr:colOff>
                    <xdr:row>58</xdr:row>
                    <xdr:rowOff>352425</xdr:rowOff>
                  </from>
                  <to>
                    <xdr:col>2</xdr:col>
                    <xdr:colOff>676275</xdr:colOff>
                    <xdr:row>60</xdr:row>
                    <xdr:rowOff>9525</xdr:rowOff>
                  </to>
                </anchor>
              </controlPr>
            </control>
          </mc:Choice>
        </mc:AlternateContent>
        <mc:AlternateContent xmlns:mc="http://schemas.openxmlformats.org/markup-compatibility/2006">
          <mc:Choice Requires="x14">
            <control shapeId="3077" r:id="rId7" name="Check Box 5">
              <controlPr defaultSize="0" autoFill="0" autoLine="0" autoPict="0" altText="">
                <anchor moveWithCells="1">
                  <from>
                    <xdr:col>2</xdr:col>
                    <xdr:colOff>666750</xdr:colOff>
                    <xdr:row>58</xdr:row>
                    <xdr:rowOff>352425</xdr:rowOff>
                  </from>
                  <to>
                    <xdr:col>2</xdr:col>
                    <xdr:colOff>1047750</xdr:colOff>
                    <xdr:row>60</xdr:row>
                    <xdr:rowOff>9525</xdr:rowOff>
                  </to>
                </anchor>
              </controlPr>
            </control>
          </mc:Choice>
        </mc:AlternateContent>
        <mc:AlternateContent xmlns:mc="http://schemas.openxmlformats.org/markup-compatibility/2006">
          <mc:Choice Requires="x14">
            <control shapeId="3078" r:id="rId8" name="Label 6">
              <controlPr defaultSize="0" autoFill="0" autoLine="0" autoPict="0">
                <anchor moveWithCells="1" sizeWithCells="1">
                  <from>
                    <xdr:col>2</xdr:col>
                    <xdr:colOff>666750</xdr:colOff>
                    <xdr:row>58</xdr:row>
                    <xdr:rowOff>161925</xdr:rowOff>
                  </from>
                  <to>
                    <xdr:col>2</xdr:col>
                    <xdr:colOff>990600</xdr:colOff>
                    <xdr:row>59</xdr:row>
                    <xdr:rowOff>9525</xdr:rowOff>
                  </to>
                </anchor>
              </controlPr>
            </control>
          </mc:Choice>
        </mc:AlternateContent>
        <mc:AlternateContent xmlns:mc="http://schemas.openxmlformats.org/markup-compatibility/2006">
          <mc:Choice Requires="x14">
            <control shapeId="3079" r:id="rId9" name="Label 7">
              <controlPr defaultSize="0" autoFill="0" autoLine="0" autoPict="0">
                <anchor moveWithCells="1" sizeWithCells="1">
                  <from>
                    <xdr:col>2</xdr:col>
                    <xdr:colOff>314325</xdr:colOff>
                    <xdr:row>58</xdr:row>
                    <xdr:rowOff>161925</xdr:rowOff>
                  </from>
                  <to>
                    <xdr:col>2</xdr:col>
                    <xdr:colOff>638175</xdr:colOff>
                    <xdr:row>58</xdr:row>
                    <xdr:rowOff>352425</xdr:rowOff>
                  </to>
                </anchor>
              </controlPr>
            </control>
          </mc:Choice>
        </mc:AlternateContent>
        <mc:AlternateContent xmlns:mc="http://schemas.openxmlformats.org/markup-compatibility/2006">
          <mc:Choice Requires="x14">
            <control shapeId="3080" r:id="rId10" name="Check Box 8">
              <controlPr defaultSize="0" autoFill="0" autoLine="0" autoPict="0" altText="">
                <anchor moveWithCells="1">
                  <from>
                    <xdr:col>2</xdr:col>
                    <xdr:colOff>295275</xdr:colOff>
                    <xdr:row>61</xdr:row>
                    <xdr:rowOff>161925</xdr:rowOff>
                  </from>
                  <to>
                    <xdr:col>2</xdr:col>
                    <xdr:colOff>676275</xdr:colOff>
                    <xdr:row>63</xdr:row>
                    <xdr:rowOff>0</xdr:rowOff>
                  </to>
                </anchor>
              </controlPr>
            </control>
          </mc:Choice>
        </mc:AlternateContent>
        <mc:AlternateContent xmlns:mc="http://schemas.openxmlformats.org/markup-compatibility/2006">
          <mc:Choice Requires="x14">
            <control shapeId="3081" r:id="rId11" name="Check Box 9">
              <controlPr defaultSize="0" autoFill="0" autoLine="0" autoPict="0" altText="">
                <anchor moveWithCells="1">
                  <from>
                    <xdr:col>2</xdr:col>
                    <xdr:colOff>685800</xdr:colOff>
                    <xdr:row>61</xdr:row>
                    <xdr:rowOff>171450</xdr:rowOff>
                  </from>
                  <to>
                    <xdr:col>2</xdr:col>
                    <xdr:colOff>1066800</xdr:colOff>
                    <xdr:row>63</xdr:row>
                    <xdr:rowOff>9525</xdr:rowOff>
                  </to>
                </anchor>
              </controlPr>
            </control>
          </mc:Choice>
        </mc:AlternateContent>
        <mc:AlternateContent xmlns:mc="http://schemas.openxmlformats.org/markup-compatibility/2006">
          <mc:Choice Requires="x14">
            <control shapeId="3082" r:id="rId12" name="Check Box 10">
              <controlPr defaultSize="0" autoFill="0" autoLine="0" autoPict="0" altText="">
                <anchor moveWithCells="1">
                  <from>
                    <xdr:col>2</xdr:col>
                    <xdr:colOff>295275</xdr:colOff>
                    <xdr:row>59</xdr:row>
                    <xdr:rowOff>180975</xdr:rowOff>
                  </from>
                  <to>
                    <xdr:col>2</xdr:col>
                    <xdr:colOff>676275</xdr:colOff>
                    <xdr:row>61</xdr:row>
                    <xdr:rowOff>19050</xdr:rowOff>
                  </to>
                </anchor>
              </controlPr>
            </control>
          </mc:Choice>
        </mc:AlternateContent>
        <mc:AlternateContent xmlns:mc="http://schemas.openxmlformats.org/markup-compatibility/2006">
          <mc:Choice Requires="x14">
            <control shapeId="3083" r:id="rId13" name="Check Box 11">
              <controlPr defaultSize="0" autoFill="0" autoLine="0" autoPict="0" altText="">
                <anchor moveWithCells="1">
                  <from>
                    <xdr:col>2</xdr:col>
                    <xdr:colOff>666750</xdr:colOff>
                    <xdr:row>59</xdr:row>
                    <xdr:rowOff>180975</xdr:rowOff>
                  </from>
                  <to>
                    <xdr:col>2</xdr:col>
                    <xdr:colOff>1047750</xdr:colOff>
                    <xdr:row>61</xdr:row>
                    <xdr:rowOff>19050</xdr:rowOff>
                  </to>
                </anchor>
              </controlPr>
            </control>
          </mc:Choice>
        </mc:AlternateContent>
        <mc:AlternateContent xmlns:mc="http://schemas.openxmlformats.org/markup-compatibility/2006">
          <mc:Choice Requires="x14">
            <control shapeId="3084" r:id="rId14" name="Check Box 12">
              <controlPr defaultSize="0" autoFill="0" autoLine="0" autoPict="0" altText="">
                <anchor moveWithCells="1">
                  <from>
                    <xdr:col>2</xdr:col>
                    <xdr:colOff>295275</xdr:colOff>
                    <xdr:row>60</xdr:row>
                    <xdr:rowOff>161925</xdr:rowOff>
                  </from>
                  <to>
                    <xdr:col>2</xdr:col>
                    <xdr:colOff>666750</xdr:colOff>
                    <xdr:row>62</xdr:row>
                    <xdr:rowOff>0</xdr:rowOff>
                  </to>
                </anchor>
              </controlPr>
            </control>
          </mc:Choice>
        </mc:AlternateContent>
        <mc:AlternateContent xmlns:mc="http://schemas.openxmlformats.org/markup-compatibility/2006">
          <mc:Choice Requires="x14">
            <control shapeId="3085" r:id="rId15" name="Check Box 13">
              <controlPr defaultSize="0" autoFill="0" autoLine="0" autoPict="0" altText="">
                <anchor moveWithCells="1">
                  <from>
                    <xdr:col>2</xdr:col>
                    <xdr:colOff>666750</xdr:colOff>
                    <xdr:row>60</xdr:row>
                    <xdr:rowOff>171450</xdr:rowOff>
                  </from>
                  <to>
                    <xdr:col>2</xdr:col>
                    <xdr:colOff>1038225</xdr:colOff>
                    <xdr:row>62</xdr:row>
                    <xdr:rowOff>9525</xdr:rowOff>
                  </to>
                </anchor>
              </controlPr>
            </control>
          </mc:Choice>
        </mc:AlternateContent>
        <mc:AlternateContent xmlns:mc="http://schemas.openxmlformats.org/markup-compatibility/2006">
          <mc:Choice Requires="x14">
            <control shapeId="3086" r:id="rId16" name="Check Box 14">
              <controlPr defaultSize="0" autoFill="0" autoLine="0" autoPict="0" altText="">
                <anchor moveWithCells="1">
                  <from>
                    <xdr:col>2</xdr:col>
                    <xdr:colOff>295275</xdr:colOff>
                    <xdr:row>62</xdr:row>
                    <xdr:rowOff>171450</xdr:rowOff>
                  </from>
                  <to>
                    <xdr:col>2</xdr:col>
                    <xdr:colOff>666750</xdr:colOff>
                    <xdr:row>64</xdr:row>
                    <xdr:rowOff>9525</xdr:rowOff>
                  </to>
                </anchor>
              </controlPr>
            </control>
          </mc:Choice>
        </mc:AlternateContent>
        <mc:AlternateContent xmlns:mc="http://schemas.openxmlformats.org/markup-compatibility/2006">
          <mc:Choice Requires="x14">
            <control shapeId="3087" r:id="rId17" name="Check Box 15">
              <controlPr defaultSize="0" autoFill="0" autoLine="0" autoPict="0" altText="">
                <anchor moveWithCells="1">
                  <from>
                    <xdr:col>2</xdr:col>
                    <xdr:colOff>685800</xdr:colOff>
                    <xdr:row>62</xdr:row>
                    <xdr:rowOff>171450</xdr:rowOff>
                  </from>
                  <to>
                    <xdr:col>2</xdr:col>
                    <xdr:colOff>1057275</xdr:colOff>
                    <xdr:row>64</xdr:row>
                    <xdr:rowOff>9525</xdr:rowOff>
                  </to>
                </anchor>
              </controlPr>
            </control>
          </mc:Choice>
        </mc:AlternateContent>
        <mc:AlternateContent xmlns:mc="http://schemas.openxmlformats.org/markup-compatibility/2006">
          <mc:Choice Requires="x14">
            <control shapeId="3088" r:id="rId18" name="Check Box 16">
              <controlPr defaultSize="0" autoFill="0" autoLine="0" autoPict="0" altText="">
                <anchor moveWithCells="1">
                  <from>
                    <xdr:col>2</xdr:col>
                    <xdr:colOff>419100</xdr:colOff>
                    <xdr:row>70</xdr:row>
                    <xdr:rowOff>133350</xdr:rowOff>
                  </from>
                  <to>
                    <xdr:col>2</xdr:col>
                    <xdr:colOff>809625</xdr:colOff>
                    <xdr:row>71</xdr:row>
                    <xdr:rowOff>0</xdr:rowOff>
                  </to>
                </anchor>
              </controlPr>
            </control>
          </mc:Choice>
        </mc:AlternateContent>
        <mc:AlternateContent xmlns:mc="http://schemas.openxmlformats.org/markup-compatibility/2006">
          <mc:Choice Requires="x14">
            <control shapeId="3089" r:id="rId19" name="Check Box 17">
              <controlPr defaultSize="0" autoFill="0" autoLine="0" autoPict="0" altText="">
                <anchor moveWithCells="1">
                  <from>
                    <xdr:col>2</xdr:col>
                    <xdr:colOff>466725</xdr:colOff>
                    <xdr:row>73</xdr:row>
                    <xdr:rowOff>76200</xdr:rowOff>
                  </from>
                  <to>
                    <xdr:col>2</xdr:col>
                    <xdr:colOff>838200</xdr:colOff>
                    <xdr:row>73</xdr:row>
                    <xdr:rowOff>295275</xdr:rowOff>
                  </to>
                </anchor>
              </controlPr>
            </control>
          </mc:Choice>
        </mc:AlternateContent>
        <mc:AlternateContent xmlns:mc="http://schemas.openxmlformats.org/markup-compatibility/2006">
          <mc:Choice Requires="x14">
            <control shapeId="3090" r:id="rId20" name="Check Box 18">
              <controlPr defaultSize="0" autoFill="0" autoLine="0" autoPict="0" altText="">
                <anchor moveWithCells="1">
                  <from>
                    <xdr:col>2</xdr:col>
                    <xdr:colOff>457200</xdr:colOff>
                    <xdr:row>74</xdr:row>
                    <xdr:rowOff>66675</xdr:rowOff>
                  </from>
                  <to>
                    <xdr:col>2</xdr:col>
                    <xdr:colOff>828675</xdr:colOff>
                    <xdr:row>74</xdr:row>
                    <xdr:rowOff>285750</xdr:rowOff>
                  </to>
                </anchor>
              </controlPr>
            </control>
          </mc:Choice>
        </mc:AlternateContent>
        <mc:AlternateContent xmlns:mc="http://schemas.openxmlformats.org/markup-compatibility/2006">
          <mc:Choice Requires="x14">
            <control shapeId="3091" r:id="rId21" name="Check Box 19">
              <controlPr defaultSize="0" autoFill="0" autoLine="0" autoPict="0" altText="">
                <anchor moveWithCells="1">
                  <from>
                    <xdr:col>2</xdr:col>
                    <xdr:colOff>466725</xdr:colOff>
                    <xdr:row>75</xdr:row>
                    <xdr:rowOff>133350</xdr:rowOff>
                  </from>
                  <to>
                    <xdr:col>2</xdr:col>
                    <xdr:colOff>838200</xdr:colOff>
                    <xdr:row>75</xdr:row>
                    <xdr:rowOff>352425</xdr:rowOff>
                  </to>
                </anchor>
              </controlPr>
            </control>
          </mc:Choice>
        </mc:AlternateContent>
        <mc:AlternateContent xmlns:mc="http://schemas.openxmlformats.org/markup-compatibility/2006">
          <mc:Choice Requires="x14">
            <control shapeId="3098" r:id="rId22" name="List Box 26">
              <controlPr defaultSize="0" autoLine="0" autoPict="0">
                <anchor moveWithCells="1">
                  <from>
                    <xdr:col>1</xdr:col>
                    <xdr:colOff>47625</xdr:colOff>
                    <xdr:row>16</xdr:row>
                    <xdr:rowOff>209550</xdr:rowOff>
                  </from>
                  <to>
                    <xdr:col>1</xdr:col>
                    <xdr:colOff>4238625</xdr:colOff>
                    <xdr:row>16</xdr:row>
                    <xdr:rowOff>790575</xdr:rowOff>
                  </to>
                </anchor>
              </controlPr>
            </control>
          </mc:Choice>
        </mc:AlternateContent>
        <mc:AlternateContent xmlns:mc="http://schemas.openxmlformats.org/markup-compatibility/2006">
          <mc:Choice Requires="x14">
            <control shapeId="3100" r:id="rId23" name="List Box 28">
              <controlPr defaultSize="0" autoLine="0" autoPict="0">
                <anchor moveWithCells="1">
                  <from>
                    <xdr:col>1</xdr:col>
                    <xdr:colOff>47625</xdr:colOff>
                    <xdr:row>19</xdr:row>
                    <xdr:rowOff>209550</xdr:rowOff>
                  </from>
                  <to>
                    <xdr:col>1</xdr:col>
                    <xdr:colOff>4238625</xdr:colOff>
                    <xdr:row>19</xdr:row>
                    <xdr:rowOff>781050</xdr:rowOff>
                  </to>
                </anchor>
              </controlPr>
            </control>
          </mc:Choice>
        </mc:AlternateContent>
        <mc:AlternateContent xmlns:mc="http://schemas.openxmlformats.org/markup-compatibility/2006">
          <mc:Choice Requires="x14">
            <control shapeId="3101" r:id="rId24" name="Check Box 29">
              <controlPr defaultSize="0" autoFill="0" autoLine="0" autoPict="0" altText="">
                <anchor moveWithCells="1">
                  <from>
                    <xdr:col>2</xdr:col>
                    <xdr:colOff>466725</xdr:colOff>
                    <xdr:row>52</xdr:row>
                    <xdr:rowOff>76200</xdr:rowOff>
                  </from>
                  <to>
                    <xdr:col>2</xdr:col>
                    <xdr:colOff>1333500</xdr:colOff>
                    <xdr:row>52</xdr:row>
                    <xdr:rowOff>295275</xdr:rowOff>
                  </to>
                </anchor>
              </controlPr>
            </control>
          </mc:Choice>
        </mc:AlternateContent>
        <mc:AlternateContent xmlns:mc="http://schemas.openxmlformats.org/markup-compatibility/2006">
          <mc:Choice Requires="x14">
            <control shapeId="3102" r:id="rId25" name="Check Box 30">
              <controlPr defaultSize="0" autoFill="0" autoLine="0" autoPict="0" altText="">
                <anchor moveWithCells="1">
                  <from>
                    <xdr:col>2</xdr:col>
                    <xdr:colOff>457200</xdr:colOff>
                    <xdr:row>52</xdr:row>
                    <xdr:rowOff>352425</xdr:rowOff>
                  </from>
                  <to>
                    <xdr:col>2</xdr:col>
                    <xdr:colOff>1323975</xdr:colOff>
                    <xdr:row>54</xdr:row>
                    <xdr:rowOff>9525</xdr:rowOff>
                  </to>
                </anchor>
              </controlPr>
            </control>
          </mc:Choice>
        </mc:AlternateContent>
        <mc:AlternateContent xmlns:mc="http://schemas.openxmlformats.org/markup-compatibility/2006">
          <mc:Choice Requires="x14">
            <control shapeId="3103" r:id="rId26" name="Check Box 31">
              <controlPr defaultSize="0" autoFill="0" autoLine="0" autoPict="0" altText="">
                <anchor moveWithCells="1">
                  <from>
                    <xdr:col>2</xdr:col>
                    <xdr:colOff>628650</xdr:colOff>
                    <xdr:row>35</xdr:row>
                    <xdr:rowOff>552450</xdr:rowOff>
                  </from>
                  <to>
                    <xdr:col>2</xdr:col>
                    <xdr:colOff>1504950</xdr:colOff>
                    <xdr:row>37</xdr:row>
                    <xdr:rowOff>104775</xdr:rowOff>
                  </to>
                </anchor>
              </controlPr>
            </control>
          </mc:Choice>
        </mc:AlternateContent>
        <mc:AlternateContent xmlns:mc="http://schemas.openxmlformats.org/markup-compatibility/2006">
          <mc:Choice Requires="x14">
            <control shapeId="3104" r:id="rId27" name="Check Box 32">
              <controlPr locked="0" defaultSize="0" autoFill="0" autoLine="0" autoPict="0" altText="">
                <anchor moveWithCells="1">
                  <from>
                    <xdr:col>2</xdr:col>
                    <xdr:colOff>1228725</xdr:colOff>
                    <xdr:row>2</xdr:row>
                    <xdr:rowOff>171450</xdr:rowOff>
                  </from>
                  <to>
                    <xdr:col>2</xdr:col>
                    <xdr:colOff>1504950</xdr:colOff>
                    <xdr:row>3</xdr:row>
                    <xdr:rowOff>190500</xdr:rowOff>
                  </to>
                </anchor>
              </controlPr>
            </control>
          </mc:Choice>
        </mc:AlternateContent>
        <mc:AlternateContent xmlns:mc="http://schemas.openxmlformats.org/markup-compatibility/2006">
          <mc:Choice Requires="x14">
            <control shapeId="3105" r:id="rId28" name="Check Box 33">
              <controlPr defaultSize="0" autoFill="0" autoLine="0" autoPict="0" altText="">
                <anchor moveWithCells="1">
                  <from>
                    <xdr:col>2</xdr:col>
                    <xdr:colOff>1219200</xdr:colOff>
                    <xdr:row>3</xdr:row>
                    <xdr:rowOff>171450</xdr:rowOff>
                  </from>
                  <to>
                    <xdr:col>2</xdr:col>
                    <xdr:colOff>1495425</xdr:colOff>
                    <xdr:row>4</xdr:row>
                    <xdr:rowOff>190500</xdr:rowOff>
                  </to>
                </anchor>
              </controlPr>
            </control>
          </mc:Choice>
        </mc:AlternateContent>
        <mc:AlternateContent xmlns:mc="http://schemas.openxmlformats.org/markup-compatibility/2006">
          <mc:Choice Requires="x14">
            <control shapeId="3106" r:id="rId29" name="Check Box 34">
              <controlPr locked="0" defaultSize="0" autoFill="0" autoLine="0" autoPict="0" altText="">
                <anchor moveWithCells="1">
                  <from>
                    <xdr:col>2</xdr:col>
                    <xdr:colOff>1219200</xdr:colOff>
                    <xdr:row>4</xdr:row>
                    <xdr:rowOff>171450</xdr:rowOff>
                  </from>
                  <to>
                    <xdr:col>2</xdr:col>
                    <xdr:colOff>1485900</xdr:colOff>
                    <xdr:row>6</xdr:row>
                    <xdr:rowOff>0</xdr:rowOff>
                  </to>
                </anchor>
              </controlPr>
            </control>
          </mc:Choice>
        </mc:AlternateContent>
        <mc:AlternateContent xmlns:mc="http://schemas.openxmlformats.org/markup-compatibility/2006">
          <mc:Choice Requires="x14">
            <control shapeId="3107" r:id="rId30" name="Check Box 35">
              <controlPr locked="0" defaultSize="0" autoFill="0" autoLine="0" autoPict="0" altText="">
                <anchor moveWithCells="1">
                  <from>
                    <xdr:col>2</xdr:col>
                    <xdr:colOff>1219200</xdr:colOff>
                    <xdr:row>6</xdr:row>
                    <xdr:rowOff>57150</xdr:rowOff>
                  </from>
                  <to>
                    <xdr:col>2</xdr:col>
                    <xdr:colOff>1485900</xdr:colOff>
                    <xdr:row>6</xdr:row>
                    <xdr:rowOff>266700</xdr:rowOff>
                  </to>
                </anchor>
              </controlPr>
            </control>
          </mc:Choice>
        </mc:AlternateContent>
        <mc:AlternateContent xmlns:mc="http://schemas.openxmlformats.org/markup-compatibility/2006">
          <mc:Choice Requires="x14">
            <control shapeId="3111" r:id="rId31" name="Check Box 39">
              <controlPr defaultSize="0" autoFill="0" autoLine="0" autoPict="0" altText="">
                <anchor moveWithCells="1">
                  <from>
                    <xdr:col>2</xdr:col>
                    <xdr:colOff>457200</xdr:colOff>
                    <xdr:row>53</xdr:row>
                    <xdr:rowOff>161925</xdr:rowOff>
                  </from>
                  <to>
                    <xdr:col>2</xdr:col>
                    <xdr:colOff>1323975</xdr:colOff>
                    <xdr:row>55</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7" tint="0.39997558519241921"/>
  </sheetPr>
  <dimension ref="A1:J18"/>
  <sheetViews>
    <sheetView workbookViewId="0">
      <selection activeCell="I13" sqref="I13"/>
    </sheetView>
  </sheetViews>
  <sheetFormatPr defaultRowHeight="15" x14ac:dyDescent="0.25"/>
  <cols>
    <col min="1" max="1" width="54.140625" customWidth="1"/>
    <col min="2" max="2" width="17.140625" customWidth="1"/>
    <col min="3" max="4" width="27.140625" customWidth="1"/>
    <col min="6" max="6" width="23" customWidth="1"/>
    <col min="8" max="8" width="22" customWidth="1"/>
    <col min="9" max="9" width="25.42578125" customWidth="1"/>
    <col min="10" max="10" width="32.42578125" customWidth="1"/>
  </cols>
  <sheetData>
    <row r="1" spans="1:10" x14ac:dyDescent="0.25">
      <c r="A1" s="73" t="s">
        <v>349</v>
      </c>
    </row>
    <row r="2" spans="1:10" s="76" customFormat="1" ht="30" x14ac:dyDescent="0.25">
      <c r="A2" s="74" t="s">
        <v>360</v>
      </c>
      <c r="B2" s="74" t="s">
        <v>350</v>
      </c>
      <c r="C2" s="75" t="s">
        <v>352</v>
      </c>
      <c r="D2" s="75" t="s">
        <v>353</v>
      </c>
      <c r="F2" s="78" t="s">
        <v>351</v>
      </c>
      <c r="H2" s="77" t="s">
        <v>354</v>
      </c>
      <c r="I2" s="77" t="s">
        <v>356</v>
      </c>
      <c r="J2" s="77" t="s">
        <v>357</v>
      </c>
    </row>
    <row r="3" spans="1:10" x14ac:dyDescent="0.25">
      <c r="A3" t="s">
        <v>146</v>
      </c>
      <c r="B3">
        <v>2</v>
      </c>
      <c r="C3">
        <v>0.8</v>
      </c>
      <c r="D3">
        <v>0.75</v>
      </c>
      <c r="F3">
        <v>500</v>
      </c>
      <c r="H3">
        <f>'Section 2'!$M$17</f>
        <v>1</v>
      </c>
      <c r="I3">
        <f>VLOOKUP(H3,B2:D7,2,0)</f>
        <v>0</v>
      </c>
      <c r="J3">
        <f>VLOOKUP(H3,B2:D7,3,0)</f>
        <v>0</v>
      </c>
    </row>
    <row r="4" spans="1:10" x14ac:dyDescent="0.25">
      <c r="A4" t="s">
        <v>148</v>
      </c>
      <c r="B4">
        <v>3</v>
      </c>
      <c r="C4">
        <v>1.1000000000000001</v>
      </c>
      <c r="D4">
        <v>1</v>
      </c>
    </row>
    <row r="5" spans="1:10" x14ac:dyDescent="0.25">
      <c r="A5" t="s">
        <v>147</v>
      </c>
      <c r="B5">
        <v>4</v>
      </c>
      <c r="C5">
        <v>1.1000000000000001</v>
      </c>
      <c r="D5">
        <v>1</v>
      </c>
      <c r="H5" s="79" t="s">
        <v>358</v>
      </c>
      <c r="I5" s="80" t="e">
        <f>MAX(IF(H3=5,((('Section 2'!E23/'Section 2'!D23)*12)),IF('Section 2'!C18&lt;500,((('Control-tab'!I3-'Section 2'!C19)/'Control-tab'!I3))*100,((('Control-tab'!J3-'Section 2'!C19)/'Control-tab'!J3)*100))),0)</f>
        <v>#DIV/0!</v>
      </c>
    </row>
    <row r="6" spans="1:10" x14ac:dyDescent="0.25">
      <c r="A6" t="s">
        <v>347</v>
      </c>
      <c r="B6">
        <v>5</v>
      </c>
      <c r="H6" s="79" t="s">
        <v>359</v>
      </c>
      <c r="I6">
        <f>IF(H3=2,MIN(0.6*I5,12),IF(H3=3,MIN(0.3*I5,12),IF(H3=4,MIN(0.3*I5,8),IF(H3=5,I5,0))))</f>
        <v>0</v>
      </c>
    </row>
    <row r="7" spans="1:10" x14ac:dyDescent="0.25">
      <c r="A7" t="s">
        <v>355</v>
      </c>
      <c r="B7">
        <v>1</v>
      </c>
    </row>
    <row r="10" spans="1:10" ht="30" x14ac:dyDescent="0.25">
      <c r="A10" s="74" t="s">
        <v>361</v>
      </c>
      <c r="B10" s="74" t="s">
        <v>350</v>
      </c>
      <c r="C10" s="75" t="s">
        <v>352</v>
      </c>
      <c r="D10" s="75" t="s">
        <v>353</v>
      </c>
      <c r="F10" s="78" t="s">
        <v>351</v>
      </c>
      <c r="H10" s="77" t="s">
        <v>354</v>
      </c>
      <c r="I10" s="77" t="s">
        <v>356</v>
      </c>
      <c r="J10" s="77" t="s">
        <v>357</v>
      </c>
    </row>
    <row r="11" spans="1:10" x14ac:dyDescent="0.25">
      <c r="A11" t="s">
        <v>146</v>
      </c>
      <c r="B11">
        <v>2</v>
      </c>
      <c r="C11">
        <v>0.8</v>
      </c>
      <c r="D11">
        <v>0.75</v>
      </c>
      <c r="F11">
        <v>500</v>
      </c>
      <c r="H11">
        <f>'Section 2'!$M$20</f>
        <v>1</v>
      </c>
      <c r="I11">
        <f>VLOOKUP(H11,B10:D14,2,0)</f>
        <v>0</v>
      </c>
      <c r="J11">
        <f>VLOOKUP(H11,B10:D14,3,0)</f>
        <v>0</v>
      </c>
    </row>
    <row r="12" spans="1:10" x14ac:dyDescent="0.25">
      <c r="A12" t="s">
        <v>148</v>
      </c>
      <c r="B12">
        <v>3</v>
      </c>
      <c r="C12">
        <v>1.1000000000000001</v>
      </c>
      <c r="D12">
        <v>1</v>
      </c>
    </row>
    <row r="13" spans="1:10" x14ac:dyDescent="0.25">
      <c r="A13" t="s">
        <v>147</v>
      </c>
      <c r="B13">
        <v>4</v>
      </c>
      <c r="C13">
        <v>1.1000000000000001</v>
      </c>
      <c r="D13">
        <v>1</v>
      </c>
      <c r="H13" s="79" t="s">
        <v>358</v>
      </c>
      <c r="I13" s="80" t="e">
        <f>MAX(IF('Section 2'!C21&lt;500,((('Control-tab'!I11-'Section 2'!C22)/'Control-tab'!I11))*100,((('Control-tab'!J11-'Section 2'!C22)/'Control-tab'!J11)*100)),0)</f>
        <v>#DIV/0!</v>
      </c>
    </row>
    <row r="14" spans="1:10" x14ac:dyDescent="0.25">
      <c r="A14" t="s">
        <v>355</v>
      </c>
      <c r="B14">
        <v>1</v>
      </c>
      <c r="H14" s="79" t="s">
        <v>359</v>
      </c>
      <c r="I14">
        <f>IF(H11=2,MIN(0.6*I13,12),IF(H11=3,MIN(0.3*I13,12),IF(H11=4,MIN(0.3*I13,8),0)))</f>
        <v>0</v>
      </c>
    </row>
    <row r="18" spans="1:1" x14ac:dyDescent="0.25">
      <c r="A18" t="b">
        <v>1</v>
      </c>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O58"/>
  <sheetViews>
    <sheetView view="pageBreakPreview" zoomScaleNormal="70" zoomScaleSheetLayoutView="100" workbookViewId="0">
      <pane ySplit="1" topLeftCell="A2" activePane="bottomLeft" state="frozen"/>
      <selection pane="bottomLeft" activeCell="P1" sqref="F1:P1048576"/>
    </sheetView>
  </sheetViews>
  <sheetFormatPr defaultRowHeight="15" x14ac:dyDescent="0.25"/>
  <cols>
    <col min="1" max="1" width="9.140625" style="1"/>
    <col min="2" max="2" width="56.140625" style="1" customWidth="1"/>
    <col min="3" max="3" width="24.28515625" style="1" customWidth="1"/>
    <col min="4" max="4" width="18" style="1" customWidth="1"/>
    <col min="5" max="5" width="13" style="1" customWidth="1"/>
    <col min="6" max="6" width="34.42578125" style="1" customWidth="1"/>
    <col min="7" max="10" width="9.140625" hidden="1" customWidth="1"/>
    <col min="11" max="15" width="9.140625" style="191" hidden="1" customWidth="1"/>
    <col min="16" max="19" width="9.140625" customWidth="1"/>
  </cols>
  <sheetData>
    <row r="1" spans="1:14" x14ac:dyDescent="0.25">
      <c r="A1" s="177" t="s">
        <v>70</v>
      </c>
      <c r="B1" s="178"/>
      <c r="C1" s="179" t="s">
        <v>2</v>
      </c>
      <c r="D1" s="179">
        <f>SUM(E:E)</f>
        <v>0</v>
      </c>
    </row>
    <row r="2" spans="1:14" x14ac:dyDescent="0.25">
      <c r="A2" s="22"/>
      <c r="C2" s="87"/>
      <c r="D2" s="23"/>
    </row>
    <row r="3" spans="1:14" x14ac:dyDescent="0.25">
      <c r="A3" s="88" t="s">
        <v>371</v>
      </c>
      <c r="B3" s="89"/>
      <c r="C3" s="264" t="s">
        <v>376</v>
      </c>
      <c r="D3" s="264"/>
    </row>
    <row r="4" spans="1:14" x14ac:dyDescent="0.25">
      <c r="A4" s="82">
        <v>4</v>
      </c>
      <c r="B4" s="4" t="s">
        <v>377</v>
      </c>
      <c r="C4" s="250"/>
      <c r="D4" s="250"/>
      <c r="M4" s="191" t="b">
        <v>0</v>
      </c>
      <c r="N4" s="191">
        <f>IF(M4=TRUE,1,0)</f>
        <v>0</v>
      </c>
    </row>
    <row r="5" spans="1:14" x14ac:dyDescent="0.25">
      <c r="A5" s="82">
        <v>9</v>
      </c>
      <c r="B5" s="4" t="s">
        <v>378</v>
      </c>
      <c r="C5" s="250"/>
      <c r="D5" s="250"/>
      <c r="M5" s="191" t="b">
        <v>0</v>
      </c>
      <c r="N5" s="191">
        <f>IF(M5=TRUE,1,0)</f>
        <v>0</v>
      </c>
    </row>
    <row r="7" spans="1:14" ht="56.25" customHeight="1" x14ac:dyDescent="0.25">
      <c r="A7" s="94">
        <v>3.1</v>
      </c>
      <c r="B7" s="95" t="s">
        <v>46</v>
      </c>
      <c r="C7" s="180" t="s">
        <v>79</v>
      </c>
      <c r="D7" s="181" t="s">
        <v>102</v>
      </c>
      <c r="E7" s="182" t="s">
        <v>2</v>
      </c>
      <c r="F7" s="183" t="s">
        <v>326</v>
      </c>
    </row>
    <row r="8" spans="1:14" ht="93.75" customHeight="1" x14ac:dyDescent="0.25">
      <c r="A8" s="26"/>
      <c r="B8" s="64" t="s">
        <v>161</v>
      </c>
      <c r="C8" s="20"/>
      <c r="D8" s="243">
        <v>7</v>
      </c>
      <c r="E8" s="245">
        <f>MAX(N9:N10)</f>
        <v>0</v>
      </c>
      <c r="F8" s="255"/>
    </row>
    <row r="9" spans="1:14" x14ac:dyDescent="0.25">
      <c r="A9" s="26"/>
      <c r="B9" s="29" t="s">
        <v>163</v>
      </c>
      <c r="C9" s="188"/>
      <c r="D9" s="243"/>
      <c r="E9" s="245"/>
      <c r="F9" s="255"/>
      <c r="N9" s="191">
        <f>IF(C9&lt;=7,C9,7)</f>
        <v>0</v>
      </c>
    </row>
    <row r="10" spans="1:14" ht="39.75" customHeight="1" x14ac:dyDescent="0.25">
      <c r="A10" s="30"/>
      <c r="B10" s="35" t="s">
        <v>162</v>
      </c>
      <c r="C10" s="36"/>
      <c r="D10" s="244"/>
      <c r="E10" s="246"/>
      <c r="F10" s="255"/>
      <c r="M10" s="191" t="b">
        <v>0</v>
      </c>
      <c r="N10" s="191">
        <f>IF(M10=TRUE, 5,0)</f>
        <v>0</v>
      </c>
    </row>
    <row r="11" spans="1:14" x14ac:dyDescent="0.25">
      <c r="A11" s="94">
        <v>3.2</v>
      </c>
      <c r="B11" s="95" t="s">
        <v>151</v>
      </c>
      <c r="C11" s="21"/>
      <c r="D11" s="21"/>
      <c r="E11" s="60"/>
      <c r="F11" s="255"/>
    </row>
    <row r="12" spans="1:14" ht="29.25" x14ac:dyDescent="0.25">
      <c r="A12" s="26"/>
      <c r="B12" s="34" t="s">
        <v>164</v>
      </c>
      <c r="C12" s="20"/>
      <c r="D12" s="243">
        <v>1</v>
      </c>
      <c r="E12" s="245">
        <f>N13+N14</f>
        <v>0</v>
      </c>
      <c r="F12" s="255"/>
    </row>
    <row r="13" spans="1:14" ht="43.5" x14ac:dyDescent="0.25">
      <c r="A13" s="26"/>
      <c r="B13" s="34" t="s">
        <v>165</v>
      </c>
      <c r="C13" s="20"/>
      <c r="D13" s="243"/>
      <c r="E13" s="245"/>
      <c r="F13" s="255"/>
      <c r="M13" s="191" t="b">
        <v>0</v>
      </c>
      <c r="N13" s="191">
        <f>IF(M13=TRUE, 0.5,0)</f>
        <v>0</v>
      </c>
    </row>
    <row r="14" spans="1:14" x14ac:dyDescent="0.25">
      <c r="A14" s="30"/>
      <c r="B14" s="36" t="s">
        <v>166</v>
      </c>
      <c r="C14" s="36"/>
      <c r="D14" s="244"/>
      <c r="E14" s="246"/>
      <c r="F14" s="255"/>
      <c r="M14" s="191" t="b">
        <v>0</v>
      </c>
      <c r="N14" s="191">
        <f>IF(M14=TRUE, 0.5,0)</f>
        <v>0</v>
      </c>
    </row>
    <row r="15" spans="1:14" x14ac:dyDescent="0.25">
      <c r="A15" s="94">
        <v>3.3</v>
      </c>
      <c r="B15" s="95" t="s">
        <v>48</v>
      </c>
      <c r="C15" s="21"/>
      <c r="D15" s="72"/>
      <c r="E15" s="33"/>
      <c r="F15" s="265"/>
    </row>
    <row r="16" spans="1:14" ht="45.75" customHeight="1" x14ac:dyDescent="0.25">
      <c r="A16" s="20"/>
      <c r="B16" s="34" t="s">
        <v>167</v>
      </c>
      <c r="C16" s="20"/>
      <c r="D16" s="243">
        <v>2.5</v>
      </c>
      <c r="E16" s="245">
        <f>SUM(N17:N19)</f>
        <v>0</v>
      </c>
      <c r="F16" s="266"/>
    </row>
    <row r="17" spans="1:14" ht="43.5" x14ac:dyDescent="0.25">
      <c r="A17" s="20"/>
      <c r="B17" s="34" t="s">
        <v>168</v>
      </c>
      <c r="C17" s="20"/>
      <c r="D17" s="243"/>
      <c r="E17" s="245"/>
      <c r="F17" s="266"/>
      <c r="M17" s="191" t="b">
        <v>0</v>
      </c>
      <c r="N17" s="191">
        <f>IF(M17=TRUE, 1,0)</f>
        <v>0</v>
      </c>
    </row>
    <row r="18" spans="1:14" ht="43.5" x14ac:dyDescent="0.25">
      <c r="A18" s="20"/>
      <c r="B18" s="34" t="s">
        <v>169</v>
      </c>
      <c r="C18" s="20"/>
      <c r="D18" s="243"/>
      <c r="E18" s="245"/>
      <c r="F18" s="266"/>
      <c r="M18" s="191" t="b">
        <v>0</v>
      </c>
      <c r="N18" s="191">
        <f>IF(M18=TRUE, 1,0)</f>
        <v>0</v>
      </c>
    </row>
    <row r="19" spans="1:14" ht="43.5" x14ac:dyDescent="0.25">
      <c r="A19" s="20"/>
      <c r="B19" s="34" t="s">
        <v>170</v>
      </c>
      <c r="C19" s="20"/>
      <c r="D19" s="243"/>
      <c r="E19" s="245"/>
      <c r="F19" s="266"/>
      <c r="M19" s="191" t="b">
        <v>0</v>
      </c>
      <c r="N19" s="191">
        <f>IF(AND(M19=TRUE,C20&gt;0), 0.5,0)</f>
        <v>0</v>
      </c>
    </row>
    <row r="20" spans="1:14" ht="17.25" x14ac:dyDescent="0.25">
      <c r="A20" s="36"/>
      <c r="B20" s="35" t="s">
        <v>400</v>
      </c>
      <c r="C20" s="188"/>
      <c r="D20" s="244"/>
      <c r="E20" s="246"/>
      <c r="F20" s="267"/>
    </row>
    <row r="21" spans="1:14" x14ac:dyDescent="0.25">
      <c r="A21" s="215">
        <v>3.4</v>
      </c>
      <c r="B21" s="216" t="s">
        <v>49</v>
      </c>
      <c r="C21" s="20"/>
      <c r="D21" s="20"/>
      <c r="E21" s="62"/>
      <c r="F21" s="255"/>
    </row>
    <row r="22" spans="1:14" ht="29.25" x14ac:dyDescent="0.25">
      <c r="A22" s="26"/>
      <c r="B22" s="61" t="s">
        <v>171</v>
      </c>
      <c r="C22" s="20"/>
      <c r="D22" s="243">
        <v>1</v>
      </c>
      <c r="E22" s="245">
        <f>N23+N24</f>
        <v>0</v>
      </c>
      <c r="F22" s="255"/>
    </row>
    <row r="23" spans="1:14" x14ac:dyDescent="0.25">
      <c r="A23" s="26"/>
      <c r="B23" s="61" t="s">
        <v>172</v>
      </c>
      <c r="C23" s="20"/>
      <c r="D23" s="243"/>
      <c r="E23" s="245"/>
      <c r="F23" s="255"/>
      <c r="M23" s="191" t="b">
        <v>0</v>
      </c>
      <c r="N23" s="191">
        <f>IF(M23=TRUE, 0.5,0)</f>
        <v>0</v>
      </c>
    </row>
    <row r="24" spans="1:14" ht="29.25" x14ac:dyDescent="0.25">
      <c r="A24" s="30"/>
      <c r="B24" s="57" t="s">
        <v>173</v>
      </c>
      <c r="C24" s="36"/>
      <c r="D24" s="244"/>
      <c r="E24" s="246"/>
      <c r="F24" s="255"/>
      <c r="M24" s="191" t="b">
        <v>0</v>
      </c>
      <c r="N24" s="191">
        <f t="shared" ref="N24:N28" si="0">IF(M24=TRUE, 0.5,0)</f>
        <v>0</v>
      </c>
    </row>
    <row r="25" spans="1:14" x14ac:dyDescent="0.25">
      <c r="A25" s="94">
        <v>3.5</v>
      </c>
      <c r="B25" s="95" t="s">
        <v>50</v>
      </c>
      <c r="C25" s="21"/>
      <c r="D25" s="21"/>
      <c r="E25" s="60"/>
      <c r="F25" s="255"/>
    </row>
    <row r="26" spans="1:14" ht="43.5" x14ac:dyDescent="0.25">
      <c r="A26" s="26"/>
      <c r="B26" s="61" t="s">
        <v>174</v>
      </c>
      <c r="C26" s="20"/>
      <c r="D26" s="243">
        <v>1</v>
      </c>
      <c r="E26" s="245">
        <f>N27+N28</f>
        <v>0</v>
      </c>
      <c r="F26" s="255"/>
    </row>
    <row r="27" spans="1:14" ht="43.5" x14ac:dyDescent="0.25">
      <c r="A27" s="26"/>
      <c r="B27" s="34" t="s">
        <v>175</v>
      </c>
      <c r="C27" s="20"/>
      <c r="D27" s="243"/>
      <c r="E27" s="245"/>
      <c r="F27" s="255"/>
      <c r="M27" s="191" t="b">
        <v>0</v>
      </c>
      <c r="N27" s="191">
        <f t="shared" si="0"/>
        <v>0</v>
      </c>
    </row>
    <row r="28" spans="1:14" ht="29.25" x14ac:dyDescent="0.25">
      <c r="A28" s="30"/>
      <c r="B28" s="37" t="s">
        <v>176</v>
      </c>
      <c r="C28" s="36"/>
      <c r="D28" s="244"/>
      <c r="E28" s="246"/>
      <c r="F28" s="255"/>
      <c r="M28" s="191" t="b">
        <v>0</v>
      </c>
      <c r="N28" s="191">
        <f t="shared" si="0"/>
        <v>0</v>
      </c>
    </row>
    <row r="29" spans="1:14" x14ac:dyDescent="0.25">
      <c r="A29" s="94">
        <v>3.6</v>
      </c>
      <c r="B29" s="95" t="s">
        <v>51</v>
      </c>
      <c r="C29" s="21"/>
      <c r="D29" s="21"/>
      <c r="E29" s="60"/>
      <c r="F29" s="255"/>
    </row>
    <row r="30" spans="1:14" ht="57.75" x14ac:dyDescent="0.25">
      <c r="A30" s="26"/>
      <c r="B30" s="34" t="s">
        <v>177</v>
      </c>
      <c r="C30" s="20"/>
      <c r="D30" s="243">
        <v>2</v>
      </c>
      <c r="E30" s="245">
        <f>IF(C32=0,0,IF(C32&gt;50,2,IF(C32&gt;=10,1.5,IF(C32&gt;0,1,0))))</f>
        <v>0</v>
      </c>
      <c r="F30" s="255"/>
    </row>
    <row r="31" spans="1:14" ht="67.5" customHeight="1" x14ac:dyDescent="0.25">
      <c r="A31" s="26"/>
      <c r="B31" s="20"/>
      <c r="C31" s="20"/>
      <c r="D31" s="243"/>
      <c r="E31" s="245"/>
      <c r="F31" s="255"/>
    </row>
    <row r="32" spans="1:14" x14ac:dyDescent="0.25">
      <c r="A32" s="30"/>
      <c r="B32" s="35" t="s">
        <v>178</v>
      </c>
      <c r="C32" s="188"/>
      <c r="D32" s="244"/>
      <c r="E32" s="246"/>
      <c r="F32" s="255"/>
    </row>
    <row r="33" spans="1:15" x14ac:dyDescent="0.25">
      <c r="A33" s="94">
        <v>3.7</v>
      </c>
      <c r="B33" s="95" t="s">
        <v>52</v>
      </c>
      <c r="C33" s="21"/>
      <c r="D33" s="21"/>
      <c r="E33" s="60"/>
      <c r="F33" s="268"/>
    </row>
    <row r="34" spans="1:15" x14ac:dyDescent="0.25">
      <c r="A34" s="44" t="s">
        <v>97</v>
      </c>
      <c r="B34" s="46" t="s">
        <v>323</v>
      </c>
      <c r="C34" s="20"/>
      <c r="D34" s="20"/>
      <c r="E34" s="62"/>
      <c r="F34" s="268"/>
    </row>
    <row r="35" spans="1:15" ht="159.75" customHeight="1" x14ac:dyDescent="0.25">
      <c r="A35" s="26"/>
      <c r="B35" s="64" t="s">
        <v>434</v>
      </c>
      <c r="C35" s="20"/>
      <c r="D35" s="66">
        <v>2</v>
      </c>
      <c r="E35" s="67">
        <f>M35</f>
        <v>0</v>
      </c>
      <c r="F35" s="268"/>
      <c r="M35" s="191">
        <f>IF(F33&gt;0,IF(C36&lt;=2,C36,2),0)</f>
        <v>0</v>
      </c>
      <c r="O35" s="191">
        <v>0</v>
      </c>
    </row>
    <row r="36" spans="1:15" x14ac:dyDescent="0.25">
      <c r="A36" s="26"/>
      <c r="B36" s="29" t="s">
        <v>324</v>
      </c>
      <c r="C36" s="188"/>
      <c r="D36" s="20"/>
      <c r="E36" s="62"/>
      <c r="F36" s="268"/>
      <c r="O36" s="191">
        <v>0.25</v>
      </c>
    </row>
    <row r="37" spans="1:15" x14ac:dyDescent="0.25">
      <c r="A37" s="44" t="s">
        <v>100</v>
      </c>
      <c r="B37" s="46" t="s">
        <v>325</v>
      </c>
      <c r="C37" s="20"/>
      <c r="D37" s="243">
        <v>5</v>
      </c>
      <c r="E37" s="245">
        <f>M38</f>
        <v>0</v>
      </c>
      <c r="F37" s="269"/>
      <c r="O37" s="191">
        <v>0.5</v>
      </c>
    </row>
    <row r="38" spans="1:15" ht="258.75" customHeight="1" x14ac:dyDescent="0.25">
      <c r="A38" s="26"/>
      <c r="B38" s="64" t="s">
        <v>425</v>
      </c>
      <c r="C38" s="20"/>
      <c r="D38" s="243"/>
      <c r="E38" s="245"/>
      <c r="F38" s="268"/>
      <c r="M38" s="191">
        <f>IF(F37&gt;0,IF(C39&lt;=5,C39,5),0)</f>
        <v>0</v>
      </c>
      <c r="O38" s="191">
        <v>0.75</v>
      </c>
    </row>
    <row r="39" spans="1:15" x14ac:dyDescent="0.25">
      <c r="A39" s="30"/>
      <c r="B39" s="31" t="s">
        <v>324</v>
      </c>
      <c r="C39" s="188">
        <v>3</v>
      </c>
      <c r="D39" s="244"/>
      <c r="E39" s="246"/>
      <c r="F39" s="268"/>
      <c r="O39" s="191">
        <v>1</v>
      </c>
    </row>
    <row r="40" spans="1:15" x14ac:dyDescent="0.25">
      <c r="A40" s="94">
        <v>3.8</v>
      </c>
      <c r="B40" s="95" t="s">
        <v>37</v>
      </c>
      <c r="C40" s="21"/>
      <c r="D40" s="21"/>
      <c r="E40" s="60"/>
      <c r="F40" s="255"/>
      <c r="O40" s="191">
        <v>1.25</v>
      </c>
    </row>
    <row r="41" spans="1:15" ht="29.25" x14ac:dyDescent="0.25">
      <c r="A41" s="26"/>
      <c r="B41" s="34" t="s">
        <v>152</v>
      </c>
      <c r="C41" s="20"/>
      <c r="D41" s="243">
        <v>3.5</v>
      </c>
      <c r="E41" s="245">
        <f>N42+O44+N49</f>
        <v>0</v>
      </c>
      <c r="F41" s="255"/>
      <c r="O41" s="191">
        <v>1.5</v>
      </c>
    </row>
    <row r="42" spans="1:15" ht="49.5" customHeight="1" x14ac:dyDescent="0.25">
      <c r="A42" s="26"/>
      <c r="B42" s="34" t="s">
        <v>153</v>
      </c>
      <c r="C42" s="20"/>
      <c r="D42" s="243"/>
      <c r="E42" s="245"/>
      <c r="F42" s="255"/>
      <c r="M42" s="191" t="b">
        <v>0</v>
      </c>
      <c r="N42" s="191">
        <f>IF(M42=TRUE,1,0)</f>
        <v>0</v>
      </c>
      <c r="O42" s="191">
        <v>1.75</v>
      </c>
    </row>
    <row r="43" spans="1:15" ht="51.75" customHeight="1" x14ac:dyDescent="0.25">
      <c r="A43" s="26"/>
      <c r="B43" s="34" t="s">
        <v>154</v>
      </c>
      <c r="C43" s="20"/>
      <c r="D43" s="243"/>
      <c r="E43" s="245"/>
      <c r="F43" s="255"/>
      <c r="O43" s="191">
        <v>2</v>
      </c>
    </row>
    <row r="44" spans="1:15" x14ac:dyDescent="0.25">
      <c r="A44" s="26"/>
      <c r="B44" s="40" t="s">
        <v>155</v>
      </c>
      <c r="C44" s="20"/>
      <c r="D44" s="243"/>
      <c r="E44" s="245"/>
      <c r="F44" s="255"/>
      <c r="M44" s="191" t="b">
        <v>0</v>
      </c>
      <c r="N44" s="191">
        <f t="shared" ref="N44:N46" si="1">IF(M44=TRUE,1,0)</f>
        <v>0</v>
      </c>
      <c r="O44" s="191">
        <f>IF(SUM(N44:N47)=0,0,IF(SUM(N44:N47)&lt;=2,SUM(N44:N47),IF(SUM(N44:N47)&gt;2,2,0)))</f>
        <v>0</v>
      </c>
    </row>
    <row r="45" spans="1:15" x14ac:dyDescent="0.25">
      <c r="A45" s="26"/>
      <c r="B45" s="40" t="s">
        <v>401</v>
      </c>
      <c r="C45" s="20"/>
      <c r="D45" s="243"/>
      <c r="E45" s="245"/>
      <c r="F45" s="255"/>
      <c r="M45" s="191" t="b">
        <v>0</v>
      </c>
      <c r="N45" s="191">
        <f t="shared" si="1"/>
        <v>0</v>
      </c>
    </row>
    <row r="46" spans="1:15" x14ac:dyDescent="0.25">
      <c r="A46" s="26"/>
      <c r="B46" s="40" t="s">
        <v>156</v>
      </c>
      <c r="C46" s="20"/>
      <c r="D46" s="243"/>
      <c r="E46" s="245"/>
      <c r="F46" s="255"/>
      <c r="M46" s="191" t="b">
        <v>0</v>
      </c>
      <c r="N46" s="191">
        <f t="shared" si="1"/>
        <v>0</v>
      </c>
    </row>
    <row r="47" spans="1:15" x14ac:dyDescent="0.25">
      <c r="A47" s="26"/>
      <c r="B47" s="263" t="s">
        <v>179</v>
      </c>
      <c r="C47" s="20"/>
      <c r="D47" s="243"/>
      <c r="E47" s="245"/>
      <c r="F47" s="255"/>
      <c r="M47" s="191" t="b">
        <v>0</v>
      </c>
      <c r="N47" s="191">
        <f>IF(AND(M47=TRUE,C48&gt;0),1,0)</f>
        <v>0</v>
      </c>
    </row>
    <row r="48" spans="1:15" x14ac:dyDescent="0.25">
      <c r="A48" s="26"/>
      <c r="B48" s="263"/>
      <c r="C48" s="188"/>
      <c r="D48" s="243"/>
      <c r="E48" s="245"/>
      <c r="F48" s="255"/>
    </row>
    <row r="49" spans="1:14" x14ac:dyDescent="0.25">
      <c r="A49" s="30"/>
      <c r="B49" s="184" t="s">
        <v>157</v>
      </c>
      <c r="C49" s="36"/>
      <c r="D49" s="244"/>
      <c r="E49" s="246"/>
      <c r="F49" s="255"/>
      <c r="M49" s="191" t="b">
        <v>0</v>
      </c>
      <c r="N49" s="191">
        <f>IF(M49=TRUE,0.5,0)</f>
        <v>0</v>
      </c>
    </row>
    <row r="50" spans="1:14" x14ac:dyDescent="0.25">
      <c r="A50" s="94">
        <v>3.9</v>
      </c>
      <c r="B50" s="95" t="s">
        <v>158</v>
      </c>
      <c r="C50" s="21"/>
      <c r="D50" s="21"/>
      <c r="E50" s="60"/>
      <c r="F50" s="255"/>
    </row>
    <row r="51" spans="1:14" ht="29.25" x14ac:dyDescent="0.25">
      <c r="A51" s="30"/>
      <c r="B51" s="184" t="s">
        <v>159</v>
      </c>
      <c r="C51" s="36"/>
      <c r="D51" s="68">
        <v>1</v>
      </c>
      <c r="E51" s="69">
        <f>N51</f>
        <v>0</v>
      </c>
      <c r="F51" s="255"/>
      <c r="M51" s="191" t="b">
        <v>0</v>
      </c>
      <c r="N51" s="191">
        <f>IF(M51=TRUE,1,0)</f>
        <v>0</v>
      </c>
    </row>
    <row r="52" spans="1:14" x14ac:dyDescent="0.25">
      <c r="A52" s="185">
        <v>3.1</v>
      </c>
      <c r="B52" s="94" t="s">
        <v>54</v>
      </c>
      <c r="C52" s="21"/>
      <c r="D52" s="21"/>
      <c r="E52" s="60"/>
      <c r="F52" s="255"/>
    </row>
    <row r="53" spans="1:14" ht="48" customHeight="1" x14ac:dyDescent="0.25">
      <c r="B53" s="186" t="s">
        <v>160</v>
      </c>
      <c r="C53" s="20"/>
      <c r="D53" s="243">
        <v>2</v>
      </c>
      <c r="E53" s="245">
        <f>N53</f>
        <v>0</v>
      </c>
      <c r="F53" s="255"/>
      <c r="N53" s="191">
        <f>IF(C54=0,0,IF(C54&lt;=2,C54,IF(C54&gt;2, 2,0)))</f>
        <v>0</v>
      </c>
    </row>
    <row r="54" spans="1:14" x14ac:dyDescent="0.25">
      <c r="B54" s="187" t="s">
        <v>180</v>
      </c>
      <c r="C54" s="188"/>
      <c r="D54" s="244"/>
      <c r="E54" s="246"/>
      <c r="F54" s="255"/>
    </row>
    <row r="55" spans="1:14" x14ac:dyDescent="0.25">
      <c r="A55" s="185">
        <v>3.11</v>
      </c>
      <c r="B55" s="95" t="s">
        <v>55</v>
      </c>
      <c r="C55" s="21"/>
      <c r="D55" s="21"/>
      <c r="E55" s="60"/>
      <c r="F55" s="255"/>
    </row>
    <row r="56" spans="1:14" ht="29.25" x14ac:dyDescent="0.25">
      <c r="A56" s="26"/>
      <c r="B56" s="34" t="s">
        <v>181</v>
      </c>
      <c r="C56" s="20"/>
      <c r="D56" s="243">
        <v>2</v>
      </c>
      <c r="E56" s="245">
        <f>N57+N58</f>
        <v>0</v>
      </c>
      <c r="F56" s="255"/>
    </row>
    <row r="57" spans="1:14" x14ac:dyDescent="0.25">
      <c r="A57" s="26"/>
      <c r="B57" s="20" t="s">
        <v>182</v>
      </c>
      <c r="C57" s="20"/>
      <c r="D57" s="243"/>
      <c r="E57" s="245"/>
      <c r="F57" s="255"/>
      <c r="M57" s="191" t="b">
        <v>0</v>
      </c>
      <c r="N57" s="191">
        <f>IF(M57=TRUE,1,0)</f>
        <v>0</v>
      </c>
    </row>
    <row r="58" spans="1:14" x14ac:dyDescent="0.25">
      <c r="A58" s="30"/>
      <c r="B58" s="36" t="s">
        <v>183</v>
      </c>
      <c r="C58" s="36"/>
      <c r="D58" s="244"/>
      <c r="E58" s="246"/>
      <c r="F58" s="255"/>
      <c r="M58" s="191" t="b">
        <v>0</v>
      </c>
      <c r="N58" s="191">
        <f>IF(M58=TRUE,1,0)</f>
        <v>0</v>
      </c>
    </row>
  </sheetData>
  <sheetProtection algorithmName="SHA-512" hashValue="7ud86BAEWYsRDnW8CYr3mVN5O586XnNjVDFWSgnU/48lwg1BA9YvR+0rTPqMOVLrxvL+bCkg4QnlRH3kgk7M8w==" saltValue="mdcK1QXL9kPr3Dl4rXcqlQ==" spinCount="100000" sheet="1" objects="1" scenarios="1"/>
  <mergeCells count="36">
    <mergeCell ref="D56:D58"/>
    <mergeCell ref="E56:E58"/>
    <mergeCell ref="D12:D14"/>
    <mergeCell ref="E12:E14"/>
    <mergeCell ref="D53:D54"/>
    <mergeCell ref="E53:E54"/>
    <mergeCell ref="D41:D49"/>
    <mergeCell ref="E41:E49"/>
    <mergeCell ref="D22:D24"/>
    <mergeCell ref="E22:E24"/>
    <mergeCell ref="D26:D28"/>
    <mergeCell ref="E26:E28"/>
    <mergeCell ref="D37:D39"/>
    <mergeCell ref="E37:E39"/>
    <mergeCell ref="D30:D32"/>
    <mergeCell ref="E30:E32"/>
    <mergeCell ref="F52:F54"/>
    <mergeCell ref="F55:F58"/>
    <mergeCell ref="F29:F32"/>
    <mergeCell ref="F33:F36"/>
    <mergeCell ref="F37:F39"/>
    <mergeCell ref="F40:F49"/>
    <mergeCell ref="F50:F51"/>
    <mergeCell ref="B47:B48"/>
    <mergeCell ref="C3:D3"/>
    <mergeCell ref="C4:D4"/>
    <mergeCell ref="C5:D5"/>
    <mergeCell ref="F8:F10"/>
    <mergeCell ref="F21:F24"/>
    <mergeCell ref="F25:F28"/>
    <mergeCell ref="D8:D10"/>
    <mergeCell ref="E8:E10"/>
    <mergeCell ref="F15:F20"/>
    <mergeCell ref="D16:D20"/>
    <mergeCell ref="F11:F14"/>
    <mergeCell ref="E16:E20"/>
  </mergeCells>
  <conditionalFormatting sqref="C4:D4">
    <cfRule type="expression" dxfId="9" priority="3">
      <formula>$N$4=1</formula>
    </cfRule>
    <cfRule type="expression" dxfId="8" priority="4">
      <formula>$N$4=0</formula>
    </cfRule>
  </conditionalFormatting>
  <conditionalFormatting sqref="C5:D5">
    <cfRule type="expression" dxfId="7" priority="1">
      <formula>$N$5=0</formula>
    </cfRule>
    <cfRule type="expression" dxfId="6" priority="2">
      <formula>$N$5=1</formula>
    </cfRule>
  </conditionalFormatting>
  <dataValidations count="7">
    <dataValidation type="decimal" allowBlank="1" showInputMessage="1" showErrorMessage="1" sqref="C9" xr:uid="{00000000-0002-0000-0400-000000000000}">
      <formula1>0</formula1>
      <formula2>7</formula2>
    </dataValidation>
    <dataValidation type="decimal" allowBlank="1" showInputMessage="1" showErrorMessage="1" sqref="C32" xr:uid="{00000000-0002-0000-0400-000001000000}">
      <formula1>0</formula1>
      <formula2>100</formula2>
    </dataValidation>
    <dataValidation type="list" allowBlank="1" showInputMessage="1" showErrorMessage="1" sqref="C36" xr:uid="{00000000-0002-0000-0400-000002000000}">
      <formula1>$O$35:$O$43</formula1>
    </dataValidation>
    <dataValidation type="decimal" allowBlank="1" showInputMessage="1" showErrorMessage="1" sqref="C39" xr:uid="{00000000-0002-0000-0400-000003000000}">
      <formula1>0</formula1>
      <formula2>5</formula2>
    </dataValidation>
    <dataValidation type="whole" allowBlank="1" showInputMessage="1" showErrorMessage="1" sqref="C54" xr:uid="{00000000-0002-0000-0400-000004000000}">
      <formula1>0</formula1>
      <formula2>999999999</formula2>
    </dataValidation>
    <dataValidation allowBlank="1" showInputMessage="1" showErrorMessage="1" promptTitle="Name of specialised waste strean" prompt="Please key in the name of the specialized waste stream to score the point." sqref="C48" xr:uid="{00000000-0002-0000-0400-000005000000}"/>
    <dataValidation type="decimal" allowBlank="1" showInputMessage="1" showErrorMessage="1" prompt="Please key in the amount of water savings from the heat recovery system of equivalent devices" sqref="C20" xr:uid="{00000000-0002-0000-0400-000006000000}">
      <formula1>0</formula1>
      <formula2>9.99999999999999E+32</formula2>
    </dataValidation>
  </dataValidations>
  <pageMargins left="0.7" right="0.7" top="0.75" bottom="0.75" header="0.3" footer="0.3"/>
  <pageSetup paperSize="9" scale="56" orientation="portrait" r:id="rId1"/>
  <rowBreaks count="1" manualBreakCount="1">
    <brk id="3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ltText="">
                <anchor moveWithCells="1">
                  <from>
                    <xdr:col>2</xdr:col>
                    <xdr:colOff>400050</xdr:colOff>
                    <xdr:row>9</xdr:row>
                    <xdr:rowOff>152400</xdr:rowOff>
                  </from>
                  <to>
                    <xdr:col>2</xdr:col>
                    <xdr:colOff>1266825</xdr:colOff>
                    <xdr:row>9</xdr:row>
                    <xdr:rowOff>371475</xdr:rowOff>
                  </to>
                </anchor>
              </controlPr>
            </control>
          </mc:Choice>
        </mc:AlternateContent>
        <mc:AlternateContent xmlns:mc="http://schemas.openxmlformats.org/markup-compatibility/2006">
          <mc:Choice Requires="x14">
            <control shapeId="6148" r:id="rId5" name="Check Box 4">
              <controlPr defaultSize="0" autoFill="0" autoLine="0" autoPict="0" altText="">
                <anchor moveWithCells="1">
                  <from>
                    <xdr:col>2</xdr:col>
                    <xdr:colOff>371475</xdr:colOff>
                    <xdr:row>12</xdr:row>
                    <xdr:rowOff>180975</xdr:rowOff>
                  </from>
                  <to>
                    <xdr:col>2</xdr:col>
                    <xdr:colOff>1238250</xdr:colOff>
                    <xdr:row>12</xdr:row>
                    <xdr:rowOff>400050</xdr:rowOff>
                  </to>
                </anchor>
              </controlPr>
            </control>
          </mc:Choice>
        </mc:AlternateContent>
        <mc:AlternateContent xmlns:mc="http://schemas.openxmlformats.org/markup-compatibility/2006">
          <mc:Choice Requires="x14">
            <control shapeId="6149" r:id="rId6" name="Check Box 5">
              <controlPr defaultSize="0" autoFill="0" autoLine="0" autoPict="0" altText="">
                <anchor moveWithCells="1">
                  <from>
                    <xdr:col>2</xdr:col>
                    <xdr:colOff>381000</xdr:colOff>
                    <xdr:row>12</xdr:row>
                    <xdr:rowOff>552450</xdr:rowOff>
                  </from>
                  <to>
                    <xdr:col>2</xdr:col>
                    <xdr:colOff>1247775</xdr:colOff>
                    <xdr:row>14</xdr:row>
                    <xdr:rowOff>28575</xdr:rowOff>
                  </to>
                </anchor>
              </controlPr>
            </control>
          </mc:Choice>
        </mc:AlternateContent>
        <mc:AlternateContent xmlns:mc="http://schemas.openxmlformats.org/markup-compatibility/2006">
          <mc:Choice Requires="x14">
            <control shapeId="6150" r:id="rId7" name="Check Box 6">
              <controlPr defaultSize="0" autoFill="0" autoLine="0" autoPict="0" altText="">
                <anchor moveWithCells="1">
                  <from>
                    <xdr:col>2</xdr:col>
                    <xdr:colOff>390525</xdr:colOff>
                    <xdr:row>16</xdr:row>
                    <xdr:rowOff>171450</xdr:rowOff>
                  </from>
                  <to>
                    <xdr:col>2</xdr:col>
                    <xdr:colOff>1257300</xdr:colOff>
                    <xdr:row>16</xdr:row>
                    <xdr:rowOff>390525</xdr:rowOff>
                  </to>
                </anchor>
              </controlPr>
            </control>
          </mc:Choice>
        </mc:AlternateContent>
        <mc:AlternateContent xmlns:mc="http://schemas.openxmlformats.org/markup-compatibility/2006">
          <mc:Choice Requires="x14">
            <control shapeId="6151" r:id="rId8" name="Check Box 7">
              <controlPr defaultSize="0" autoFill="0" autoLine="0" autoPict="0" altText="">
                <anchor moveWithCells="1">
                  <from>
                    <xdr:col>2</xdr:col>
                    <xdr:colOff>409575</xdr:colOff>
                    <xdr:row>17</xdr:row>
                    <xdr:rowOff>171450</xdr:rowOff>
                  </from>
                  <to>
                    <xdr:col>2</xdr:col>
                    <xdr:colOff>1276350</xdr:colOff>
                    <xdr:row>17</xdr:row>
                    <xdr:rowOff>390525</xdr:rowOff>
                  </to>
                </anchor>
              </controlPr>
            </control>
          </mc:Choice>
        </mc:AlternateContent>
        <mc:AlternateContent xmlns:mc="http://schemas.openxmlformats.org/markup-compatibility/2006">
          <mc:Choice Requires="x14">
            <control shapeId="6152" r:id="rId9" name="Check Box 8">
              <controlPr defaultSize="0" autoFill="0" autoLine="0" autoPict="0" altText="">
                <anchor moveWithCells="1">
                  <from>
                    <xdr:col>2</xdr:col>
                    <xdr:colOff>400050</xdr:colOff>
                    <xdr:row>18</xdr:row>
                    <xdr:rowOff>104775</xdr:rowOff>
                  </from>
                  <to>
                    <xdr:col>2</xdr:col>
                    <xdr:colOff>1266825</xdr:colOff>
                    <xdr:row>18</xdr:row>
                    <xdr:rowOff>323850</xdr:rowOff>
                  </to>
                </anchor>
              </controlPr>
            </control>
          </mc:Choice>
        </mc:AlternateContent>
        <mc:AlternateContent xmlns:mc="http://schemas.openxmlformats.org/markup-compatibility/2006">
          <mc:Choice Requires="x14">
            <control shapeId="6153" r:id="rId10" name="Check Box 9">
              <controlPr defaultSize="0" autoFill="0" autoLine="0" autoPict="0" altText="">
                <anchor moveWithCells="1">
                  <from>
                    <xdr:col>2</xdr:col>
                    <xdr:colOff>390525</xdr:colOff>
                    <xdr:row>21</xdr:row>
                    <xdr:rowOff>352425</xdr:rowOff>
                  </from>
                  <to>
                    <xdr:col>2</xdr:col>
                    <xdr:colOff>1257300</xdr:colOff>
                    <xdr:row>23</xdr:row>
                    <xdr:rowOff>9525</xdr:rowOff>
                  </to>
                </anchor>
              </controlPr>
            </control>
          </mc:Choice>
        </mc:AlternateContent>
        <mc:AlternateContent xmlns:mc="http://schemas.openxmlformats.org/markup-compatibility/2006">
          <mc:Choice Requires="x14">
            <control shapeId="6154" r:id="rId11" name="Check Box 10">
              <controlPr defaultSize="0" autoFill="0" autoLine="0" autoPict="0" altText="">
                <anchor moveWithCells="1">
                  <from>
                    <xdr:col>2</xdr:col>
                    <xdr:colOff>400050</xdr:colOff>
                    <xdr:row>23</xdr:row>
                    <xdr:rowOff>66675</xdr:rowOff>
                  </from>
                  <to>
                    <xdr:col>2</xdr:col>
                    <xdr:colOff>1266825</xdr:colOff>
                    <xdr:row>24</xdr:row>
                    <xdr:rowOff>0</xdr:rowOff>
                  </to>
                </anchor>
              </controlPr>
            </control>
          </mc:Choice>
        </mc:AlternateContent>
        <mc:AlternateContent xmlns:mc="http://schemas.openxmlformats.org/markup-compatibility/2006">
          <mc:Choice Requires="x14">
            <control shapeId="6155" r:id="rId12" name="Check Box 11">
              <controlPr defaultSize="0" autoFill="0" autoLine="0" autoPict="0" altText="">
                <anchor moveWithCells="1">
                  <from>
                    <xdr:col>2</xdr:col>
                    <xdr:colOff>390525</xdr:colOff>
                    <xdr:row>26</xdr:row>
                    <xdr:rowOff>295275</xdr:rowOff>
                  </from>
                  <to>
                    <xdr:col>2</xdr:col>
                    <xdr:colOff>1257300</xdr:colOff>
                    <xdr:row>26</xdr:row>
                    <xdr:rowOff>514350</xdr:rowOff>
                  </to>
                </anchor>
              </controlPr>
            </control>
          </mc:Choice>
        </mc:AlternateContent>
        <mc:AlternateContent xmlns:mc="http://schemas.openxmlformats.org/markup-compatibility/2006">
          <mc:Choice Requires="x14">
            <control shapeId="6156" r:id="rId13" name="Check Box 12">
              <controlPr defaultSize="0" autoFill="0" autoLine="0" autoPict="0" altText="">
                <anchor moveWithCells="1">
                  <from>
                    <xdr:col>2</xdr:col>
                    <xdr:colOff>409575</xdr:colOff>
                    <xdr:row>27</xdr:row>
                    <xdr:rowOff>66675</xdr:rowOff>
                  </from>
                  <to>
                    <xdr:col>2</xdr:col>
                    <xdr:colOff>1276350</xdr:colOff>
                    <xdr:row>27</xdr:row>
                    <xdr:rowOff>285750</xdr:rowOff>
                  </to>
                </anchor>
              </controlPr>
            </control>
          </mc:Choice>
        </mc:AlternateContent>
        <mc:AlternateContent xmlns:mc="http://schemas.openxmlformats.org/markup-compatibility/2006">
          <mc:Choice Requires="x14">
            <control shapeId="6157" r:id="rId14" name="Check Box 13">
              <controlPr defaultSize="0" autoFill="0" autoLine="0" autoPict="0" altText="">
                <anchor moveWithCells="1">
                  <from>
                    <xdr:col>2</xdr:col>
                    <xdr:colOff>352425</xdr:colOff>
                    <xdr:row>42</xdr:row>
                    <xdr:rowOff>638175</xdr:rowOff>
                  </from>
                  <to>
                    <xdr:col>2</xdr:col>
                    <xdr:colOff>1219200</xdr:colOff>
                    <xdr:row>44</xdr:row>
                    <xdr:rowOff>9525</xdr:rowOff>
                  </to>
                </anchor>
              </controlPr>
            </control>
          </mc:Choice>
        </mc:AlternateContent>
        <mc:AlternateContent xmlns:mc="http://schemas.openxmlformats.org/markup-compatibility/2006">
          <mc:Choice Requires="x14">
            <control shapeId="6158" r:id="rId15" name="Check Box 14">
              <controlPr defaultSize="0" autoFill="0" autoLine="0" autoPict="0" altText="">
                <anchor moveWithCells="1">
                  <from>
                    <xdr:col>2</xdr:col>
                    <xdr:colOff>361950</xdr:colOff>
                    <xdr:row>41</xdr:row>
                    <xdr:rowOff>76200</xdr:rowOff>
                  </from>
                  <to>
                    <xdr:col>2</xdr:col>
                    <xdr:colOff>1228725</xdr:colOff>
                    <xdr:row>41</xdr:row>
                    <xdr:rowOff>295275</xdr:rowOff>
                  </to>
                </anchor>
              </controlPr>
            </control>
          </mc:Choice>
        </mc:AlternateContent>
        <mc:AlternateContent xmlns:mc="http://schemas.openxmlformats.org/markup-compatibility/2006">
          <mc:Choice Requires="x14">
            <control shapeId="6159" r:id="rId16" name="Check Box 15">
              <controlPr defaultSize="0" autoFill="0" autoLine="0" autoPict="0" altText="">
                <anchor moveWithCells="1">
                  <from>
                    <xdr:col>2</xdr:col>
                    <xdr:colOff>361950</xdr:colOff>
                    <xdr:row>43</xdr:row>
                    <xdr:rowOff>161925</xdr:rowOff>
                  </from>
                  <to>
                    <xdr:col>2</xdr:col>
                    <xdr:colOff>1228725</xdr:colOff>
                    <xdr:row>45</xdr:row>
                    <xdr:rowOff>0</xdr:rowOff>
                  </to>
                </anchor>
              </controlPr>
            </control>
          </mc:Choice>
        </mc:AlternateContent>
        <mc:AlternateContent xmlns:mc="http://schemas.openxmlformats.org/markup-compatibility/2006">
          <mc:Choice Requires="x14">
            <control shapeId="6161" r:id="rId17" name="Check Box 17">
              <controlPr defaultSize="0" autoFill="0" autoLine="0" autoPict="0" altText="">
                <anchor moveWithCells="1">
                  <from>
                    <xdr:col>2</xdr:col>
                    <xdr:colOff>371475</xdr:colOff>
                    <xdr:row>45</xdr:row>
                    <xdr:rowOff>0</xdr:rowOff>
                  </from>
                  <to>
                    <xdr:col>2</xdr:col>
                    <xdr:colOff>1238250</xdr:colOff>
                    <xdr:row>46</xdr:row>
                    <xdr:rowOff>28575</xdr:rowOff>
                  </to>
                </anchor>
              </controlPr>
            </control>
          </mc:Choice>
        </mc:AlternateContent>
        <mc:AlternateContent xmlns:mc="http://schemas.openxmlformats.org/markup-compatibility/2006">
          <mc:Choice Requires="x14">
            <control shapeId="6162" r:id="rId18" name="Check Box 18">
              <controlPr defaultSize="0" autoFill="0" autoLine="0" autoPict="0" altText="">
                <anchor moveWithCells="1">
                  <from>
                    <xdr:col>2</xdr:col>
                    <xdr:colOff>361950</xdr:colOff>
                    <xdr:row>45</xdr:row>
                    <xdr:rowOff>171450</xdr:rowOff>
                  </from>
                  <to>
                    <xdr:col>2</xdr:col>
                    <xdr:colOff>1228725</xdr:colOff>
                    <xdr:row>47</xdr:row>
                    <xdr:rowOff>9525</xdr:rowOff>
                  </to>
                </anchor>
              </controlPr>
            </control>
          </mc:Choice>
        </mc:AlternateContent>
        <mc:AlternateContent xmlns:mc="http://schemas.openxmlformats.org/markup-compatibility/2006">
          <mc:Choice Requires="x14">
            <control shapeId="6163" r:id="rId19" name="Check Box 19">
              <controlPr defaultSize="0" autoFill="0" autoLine="0" autoPict="0" altText="">
                <anchor moveWithCells="1">
                  <from>
                    <xdr:col>2</xdr:col>
                    <xdr:colOff>371475</xdr:colOff>
                    <xdr:row>47</xdr:row>
                    <xdr:rowOff>171450</xdr:rowOff>
                  </from>
                  <to>
                    <xdr:col>2</xdr:col>
                    <xdr:colOff>1238250</xdr:colOff>
                    <xdr:row>49</xdr:row>
                    <xdr:rowOff>9525</xdr:rowOff>
                  </to>
                </anchor>
              </controlPr>
            </control>
          </mc:Choice>
        </mc:AlternateContent>
        <mc:AlternateContent xmlns:mc="http://schemas.openxmlformats.org/markup-compatibility/2006">
          <mc:Choice Requires="x14">
            <control shapeId="6164" r:id="rId20" name="Check Box 20">
              <controlPr defaultSize="0" autoFill="0" autoLine="0" autoPict="0" altText="">
                <anchor moveWithCells="1">
                  <from>
                    <xdr:col>2</xdr:col>
                    <xdr:colOff>409575</xdr:colOff>
                    <xdr:row>50</xdr:row>
                    <xdr:rowOff>76200</xdr:rowOff>
                  </from>
                  <to>
                    <xdr:col>2</xdr:col>
                    <xdr:colOff>1276350</xdr:colOff>
                    <xdr:row>50</xdr:row>
                    <xdr:rowOff>361950</xdr:rowOff>
                  </to>
                </anchor>
              </controlPr>
            </control>
          </mc:Choice>
        </mc:AlternateContent>
        <mc:AlternateContent xmlns:mc="http://schemas.openxmlformats.org/markup-compatibility/2006">
          <mc:Choice Requires="x14">
            <control shapeId="6165" r:id="rId21" name="Check Box 21">
              <controlPr defaultSize="0" autoFill="0" autoLine="0" autoPict="0" altText="">
                <anchor moveWithCells="1">
                  <from>
                    <xdr:col>2</xdr:col>
                    <xdr:colOff>371475</xdr:colOff>
                    <xdr:row>55</xdr:row>
                    <xdr:rowOff>523875</xdr:rowOff>
                  </from>
                  <to>
                    <xdr:col>2</xdr:col>
                    <xdr:colOff>1238250</xdr:colOff>
                    <xdr:row>56</xdr:row>
                    <xdr:rowOff>180975</xdr:rowOff>
                  </to>
                </anchor>
              </controlPr>
            </control>
          </mc:Choice>
        </mc:AlternateContent>
        <mc:AlternateContent xmlns:mc="http://schemas.openxmlformats.org/markup-compatibility/2006">
          <mc:Choice Requires="x14">
            <control shapeId="6166" r:id="rId22" name="Check Box 22">
              <controlPr defaultSize="0" autoFill="0" autoLine="0" autoPict="0" altText="">
                <anchor moveWithCells="1">
                  <from>
                    <xdr:col>2</xdr:col>
                    <xdr:colOff>390525</xdr:colOff>
                    <xdr:row>56</xdr:row>
                    <xdr:rowOff>161925</xdr:rowOff>
                  </from>
                  <to>
                    <xdr:col>2</xdr:col>
                    <xdr:colOff>1257300</xdr:colOff>
                    <xdr:row>58</xdr:row>
                    <xdr:rowOff>0</xdr:rowOff>
                  </to>
                </anchor>
              </controlPr>
            </control>
          </mc:Choice>
        </mc:AlternateContent>
        <mc:AlternateContent xmlns:mc="http://schemas.openxmlformats.org/markup-compatibility/2006">
          <mc:Choice Requires="x14">
            <control shapeId="6167" r:id="rId23" name="Check Box 23">
              <controlPr locked="0" defaultSize="0" autoFill="0" autoLine="0" autoPict="0" altText="">
                <anchor moveWithCells="1">
                  <from>
                    <xdr:col>2</xdr:col>
                    <xdr:colOff>1314450</xdr:colOff>
                    <xdr:row>2</xdr:row>
                    <xdr:rowOff>180975</xdr:rowOff>
                  </from>
                  <to>
                    <xdr:col>3</xdr:col>
                    <xdr:colOff>561975</xdr:colOff>
                    <xdr:row>4</xdr:row>
                    <xdr:rowOff>19050</xdr:rowOff>
                  </to>
                </anchor>
              </controlPr>
            </control>
          </mc:Choice>
        </mc:AlternateContent>
        <mc:AlternateContent xmlns:mc="http://schemas.openxmlformats.org/markup-compatibility/2006">
          <mc:Choice Requires="x14">
            <control shapeId="6168" r:id="rId24" name="Check Box 24">
              <controlPr locked="0" defaultSize="0" autoFill="0" autoLine="0" autoPict="0" altText="">
                <anchor moveWithCells="1">
                  <from>
                    <xdr:col>2</xdr:col>
                    <xdr:colOff>1314450</xdr:colOff>
                    <xdr:row>3</xdr:row>
                    <xdr:rowOff>171450</xdr:rowOff>
                  </from>
                  <to>
                    <xdr:col>3</xdr:col>
                    <xdr:colOff>571500</xdr:colOff>
                    <xdr:row>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X102"/>
  <sheetViews>
    <sheetView view="pageBreakPreview" zoomScaleNormal="70" zoomScaleSheetLayoutView="100" workbookViewId="0">
      <pane ySplit="1" topLeftCell="A87" activePane="bottomLeft" state="frozen"/>
      <selection pane="bottomLeft" activeCell="Y1" sqref="F1:Y1048576"/>
    </sheetView>
  </sheetViews>
  <sheetFormatPr defaultRowHeight="15" x14ac:dyDescent="0.25"/>
  <cols>
    <col min="1" max="1" width="9.140625" style="1"/>
    <col min="2" max="2" width="58.5703125" style="1" customWidth="1"/>
    <col min="3" max="3" width="20.140625" style="1" customWidth="1"/>
    <col min="4" max="4" width="21.140625" style="1" customWidth="1"/>
    <col min="5" max="5" width="14.7109375" style="1" customWidth="1"/>
    <col min="6" max="6" width="40.28515625" style="1" customWidth="1"/>
    <col min="7" max="11" width="9.140625" hidden="1" customWidth="1"/>
    <col min="12" max="16" width="9.140625" style="191" hidden="1" customWidth="1"/>
    <col min="17" max="17" width="62.28515625" hidden="1" customWidth="1"/>
    <col min="18" max="24" width="9.140625" hidden="1" customWidth="1"/>
  </cols>
  <sheetData>
    <row r="1" spans="1:14" x14ac:dyDescent="0.25">
      <c r="A1" s="96" t="s">
        <v>184</v>
      </c>
      <c r="B1" s="97"/>
      <c r="C1" s="163" t="s">
        <v>2</v>
      </c>
      <c r="D1" s="163">
        <f>SUM(E:E)</f>
        <v>0</v>
      </c>
    </row>
    <row r="3" spans="1:14" x14ac:dyDescent="0.25">
      <c r="A3" s="173" t="s">
        <v>371</v>
      </c>
      <c r="B3" s="126"/>
      <c r="C3" s="270" t="s">
        <v>376</v>
      </c>
      <c r="D3" s="270"/>
    </row>
    <row r="4" spans="1:14" x14ac:dyDescent="0.25">
      <c r="A4" s="174">
        <v>6</v>
      </c>
      <c r="B4" s="126" t="s">
        <v>380</v>
      </c>
      <c r="C4" s="271"/>
      <c r="D4" s="271"/>
      <c r="M4" s="191" t="b">
        <v>0</v>
      </c>
      <c r="N4" s="191">
        <f>IF(M4=TRUE,1,0)</f>
        <v>0</v>
      </c>
    </row>
    <row r="5" spans="1:14" x14ac:dyDescent="0.25">
      <c r="A5" s="174">
        <v>7</v>
      </c>
      <c r="B5" s="126" t="s">
        <v>381</v>
      </c>
      <c r="C5" s="271"/>
      <c r="D5" s="271"/>
      <c r="M5" s="191" t="b">
        <v>0</v>
      </c>
      <c r="N5" s="191">
        <f t="shared" ref="N5:N6" si="0">IF(M5=TRUE,1,0)</f>
        <v>0</v>
      </c>
    </row>
    <row r="6" spans="1:14" x14ac:dyDescent="0.25">
      <c r="A6" s="174">
        <v>10</v>
      </c>
      <c r="B6" s="126" t="s">
        <v>382</v>
      </c>
      <c r="C6" s="271"/>
      <c r="D6" s="271"/>
      <c r="M6" s="191" t="b">
        <v>0</v>
      </c>
      <c r="N6" s="191">
        <f t="shared" si="0"/>
        <v>0</v>
      </c>
    </row>
    <row r="8" spans="1:14" ht="28.5" x14ac:dyDescent="0.25">
      <c r="A8" s="164">
        <v>4.0999999999999996</v>
      </c>
      <c r="B8" s="165" t="s">
        <v>59</v>
      </c>
      <c r="C8" s="166" t="s">
        <v>79</v>
      </c>
      <c r="D8" s="167" t="s">
        <v>102</v>
      </c>
      <c r="E8" s="167" t="s">
        <v>2</v>
      </c>
      <c r="F8" s="168" t="s">
        <v>326</v>
      </c>
    </row>
    <row r="9" spans="1:14" ht="28.5" x14ac:dyDescent="0.25">
      <c r="A9" s="28"/>
      <c r="B9" s="169" t="s">
        <v>185</v>
      </c>
      <c r="C9" s="21"/>
      <c r="D9" s="21"/>
      <c r="E9" s="60"/>
      <c r="F9" s="253"/>
    </row>
    <row r="10" spans="1:14" x14ac:dyDescent="0.25">
      <c r="A10" s="44" t="s">
        <v>97</v>
      </c>
      <c r="B10" s="46" t="s">
        <v>186</v>
      </c>
      <c r="C10" s="20"/>
      <c r="D10" s="243">
        <v>1</v>
      </c>
      <c r="E10" s="245">
        <f>N10</f>
        <v>0</v>
      </c>
      <c r="F10" s="250"/>
      <c r="M10" s="191" t="b">
        <v>0</v>
      </c>
      <c r="N10" s="191">
        <f>IF(M10=TRUE,1,0)</f>
        <v>0</v>
      </c>
    </row>
    <row r="11" spans="1:14" ht="43.5" x14ac:dyDescent="0.25">
      <c r="A11" s="26"/>
      <c r="B11" s="34" t="s">
        <v>187</v>
      </c>
      <c r="C11" s="20"/>
      <c r="D11" s="243"/>
      <c r="E11" s="245"/>
      <c r="F11" s="250"/>
    </row>
    <row r="12" spans="1:14" x14ac:dyDescent="0.25">
      <c r="A12" s="44" t="s">
        <v>100</v>
      </c>
      <c r="B12" s="46" t="s">
        <v>188</v>
      </c>
      <c r="C12" s="20"/>
      <c r="D12" s="243">
        <v>0.5</v>
      </c>
      <c r="E12" s="245">
        <f>N12</f>
        <v>0</v>
      </c>
      <c r="F12" s="250"/>
      <c r="M12" s="191" t="b">
        <v>0</v>
      </c>
      <c r="N12" s="191">
        <f>IF(M12=TRUE,0.5,0)</f>
        <v>0</v>
      </c>
    </row>
    <row r="13" spans="1:14" ht="43.5" x14ac:dyDescent="0.25">
      <c r="A13" s="26"/>
      <c r="B13" s="34" t="s">
        <v>189</v>
      </c>
      <c r="C13" s="20"/>
      <c r="D13" s="243"/>
      <c r="E13" s="245"/>
      <c r="F13" s="250"/>
    </row>
    <row r="14" spans="1:14" x14ac:dyDescent="0.25">
      <c r="A14" s="44" t="s">
        <v>104</v>
      </c>
      <c r="B14" s="46" t="s">
        <v>190</v>
      </c>
      <c r="C14" s="20"/>
      <c r="D14" s="243">
        <v>2</v>
      </c>
      <c r="E14" s="245">
        <f>N14</f>
        <v>0</v>
      </c>
      <c r="F14" s="250"/>
      <c r="M14" s="191" t="b">
        <v>0</v>
      </c>
      <c r="N14" s="191">
        <f>IF(M14=TRUE,2,0)</f>
        <v>0</v>
      </c>
    </row>
    <row r="15" spans="1:14" ht="72" x14ac:dyDescent="0.25">
      <c r="A15" s="26"/>
      <c r="B15" s="34" t="s">
        <v>191</v>
      </c>
      <c r="C15" s="20"/>
      <c r="D15" s="243"/>
      <c r="E15" s="245"/>
      <c r="F15" s="250"/>
    </row>
    <row r="16" spans="1:14" x14ac:dyDescent="0.25">
      <c r="A16" s="44" t="s">
        <v>123</v>
      </c>
      <c r="B16" s="46" t="s">
        <v>192</v>
      </c>
      <c r="C16" s="20"/>
      <c r="D16" s="243">
        <v>2</v>
      </c>
      <c r="E16" s="245">
        <f>N16</f>
        <v>0</v>
      </c>
      <c r="F16" s="250"/>
      <c r="M16" s="191" t="b">
        <v>0</v>
      </c>
      <c r="N16" s="191">
        <f>IF(M16=TRUE,2,0)</f>
        <v>0</v>
      </c>
    </row>
    <row r="17" spans="1:15" ht="43.5" x14ac:dyDescent="0.25">
      <c r="A17" s="30"/>
      <c r="B17" s="37" t="s">
        <v>193</v>
      </c>
      <c r="C17" s="36"/>
      <c r="D17" s="244"/>
      <c r="E17" s="246"/>
      <c r="F17" s="250"/>
    </row>
    <row r="18" spans="1:15" x14ac:dyDescent="0.25">
      <c r="A18" s="90">
        <v>4.2</v>
      </c>
      <c r="B18" s="91" t="s">
        <v>60</v>
      </c>
      <c r="C18" s="21"/>
      <c r="D18" s="21"/>
      <c r="E18" s="60"/>
      <c r="F18" s="250"/>
    </row>
    <row r="19" spans="1:15" ht="43.5" x14ac:dyDescent="0.25">
      <c r="A19" s="26"/>
      <c r="B19" s="34" t="s">
        <v>194</v>
      </c>
      <c r="C19" s="20"/>
      <c r="D19" s="20"/>
      <c r="E19" s="62"/>
      <c r="F19" s="250"/>
    </row>
    <row r="20" spans="1:15" x14ac:dyDescent="0.25">
      <c r="A20" s="44" t="s">
        <v>97</v>
      </c>
      <c r="B20" s="45" t="s">
        <v>195</v>
      </c>
      <c r="C20" s="20"/>
      <c r="D20" s="243">
        <v>1</v>
      </c>
      <c r="E20" s="245">
        <f>N20</f>
        <v>0</v>
      </c>
      <c r="F20" s="250"/>
      <c r="M20" s="191" t="b">
        <v>0</v>
      </c>
      <c r="N20" s="191">
        <f>IF(M20=TRUE,1,0)</f>
        <v>0</v>
      </c>
    </row>
    <row r="21" spans="1:15" ht="43.5" x14ac:dyDescent="0.25">
      <c r="A21" s="26"/>
      <c r="B21" s="34" t="s">
        <v>196</v>
      </c>
      <c r="C21" s="20"/>
      <c r="D21" s="243"/>
      <c r="E21" s="245"/>
      <c r="F21" s="250"/>
    </row>
    <row r="22" spans="1:15" x14ac:dyDescent="0.25">
      <c r="A22" s="44" t="s">
        <v>100</v>
      </c>
      <c r="B22" s="45" t="s">
        <v>197</v>
      </c>
      <c r="C22" s="20"/>
      <c r="D22" s="243">
        <v>0.5</v>
      </c>
      <c r="E22" s="245">
        <f>N22</f>
        <v>0</v>
      </c>
      <c r="F22" s="250"/>
      <c r="M22" s="191" t="b">
        <v>0</v>
      </c>
      <c r="N22" s="191">
        <f>IF(M22=TRUE,0.5,0)</f>
        <v>0</v>
      </c>
    </row>
    <row r="23" spans="1:15" ht="57.75" x14ac:dyDescent="0.25">
      <c r="A23" s="30"/>
      <c r="B23" s="37" t="s">
        <v>198</v>
      </c>
      <c r="C23" s="36"/>
      <c r="D23" s="244"/>
      <c r="E23" s="246"/>
      <c r="F23" s="250"/>
    </row>
    <row r="24" spans="1:15" x14ac:dyDescent="0.25">
      <c r="A24" s="90">
        <v>4.3</v>
      </c>
      <c r="B24" s="91" t="s">
        <v>61</v>
      </c>
      <c r="C24" s="21"/>
      <c r="D24" s="21"/>
      <c r="E24" s="60"/>
      <c r="F24" s="250"/>
    </row>
    <row r="25" spans="1:15" ht="29.25" x14ac:dyDescent="0.25">
      <c r="A25" s="26"/>
      <c r="B25" s="34" t="s">
        <v>199</v>
      </c>
      <c r="C25" s="20"/>
      <c r="D25" s="66">
        <v>2.5</v>
      </c>
      <c r="E25" s="67">
        <f>MAX(O26,O28)</f>
        <v>0</v>
      </c>
      <c r="F25" s="250"/>
    </row>
    <row r="26" spans="1:15" ht="72" x14ac:dyDescent="0.25">
      <c r="A26" s="26"/>
      <c r="B26" s="34" t="s">
        <v>200</v>
      </c>
      <c r="C26" s="20"/>
      <c r="D26" s="20"/>
      <c r="E26" s="62"/>
      <c r="F26" s="250"/>
      <c r="M26" s="191" t="b">
        <v>0</v>
      </c>
      <c r="N26" s="191">
        <f>IF(M26=TRUE,0.5,0)</f>
        <v>0</v>
      </c>
      <c r="O26" s="191">
        <f>IF(N26=0.5,0.5, N28+N29)</f>
        <v>0</v>
      </c>
    </row>
    <row r="27" spans="1:15" x14ac:dyDescent="0.25">
      <c r="A27" s="26"/>
      <c r="B27" s="71" t="s">
        <v>201</v>
      </c>
      <c r="C27" s="20"/>
      <c r="D27" s="20"/>
      <c r="E27" s="62"/>
      <c r="F27" s="250"/>
    </row>
    <row r="28" spans="1:15" ht="29.25" x14ac:dyDescent="0.25">
      <c r="A28" s="26"/>
      <c r="B28" s="34" t="s">
        <v>202</v>
      </c>
      <c r="C28" s="20"/>
      <c r="D28" s="20"/>
      <c r="E28" s="62"/>
      <c r="F28" s="250"/>
      <c r="M28" s="191" t="b">
        <v>0</v>
      </c>
      <c r="N28" s="191">
        <f>IF(M28=TRUE,1,0)</f>
        <v>0</v>
      </c>
      <c r="O28" s="191">
        <f>N28+N29</f>
        <v>0</v>
      </c>
    </row>
    <row r="29" spans="1:15" ht="29.25" x14ac:dyDescent="0.25">
      <c r="A29" s="30"/>
      <c r="B29" s="37" t="s">
        <v>203</v>
      </c>
      <c r="C29" s="36"/>
      <c r="D29" s="36"/>
      <c r="E29" s="59"/>
      <c r="F29" s="250"/>
      <c r="M29" s="191" t="b">
        <v>0</v>
      </c>
      <c r="N29" s="191">
        <f>IF(M29=TRUE,1.5,0)</f>
        <v>0</v>
      </c>
    </row>
    <row r="30" spans="1:15" x14ac:dyDescent="0.25">
      <c r="A30" s="90">
        <v>4.4000000000000004</v>
      </c>
      <c r="B30" s="91" t="s">
        <v>62</v>
      </c>
      <c r="C30" s="21"/>
      <c r="D30" s="21"/>
      <c r="E30" s="60"/>
      <c r="F30" s="250"/>
    </row>
    <row r="31" spans="1:15" ht="43.5" x14ac:dyDescent="0.25">
      <c r="A31" s="26"/>
      <c r="B31" s="34" t="s">
        <v>204</v>
      </c>
      <c r="C31" s="20"/>
      <c r="D31" s="20"/>
      <c r="E31" s="62"/>
      <c r="F31" s="250"/>
    </row>
    <row r="32" spans="1:15" ht="29.25" x14ac:dyDescent="0.25">
      <c r="A32" s="55" t="s">
        <v>97</v>
      </c>
      <c r="B32" s="45" t="s">
        <v>205</v>
      </c>
      <c r="C32" s="20"/>
      <c r="D32" s="66">
        <v>1</v>
      </c>
      <c r="E32" s="67">
        <f>N33</f>
        <v>0</v>
      </c>
      <c r="F32" s="250"/>
    </row>
    <row r="33" spans="1:14" ht="57.75" x14ac:dyDescent="0.25">
      <c r="A33" s="26"/>
      <c r="B33" s="34" t="s">
        <v>206</v>
      </c>
      <c r="C33" s="20"/>
      <c r="D33" s="20"/>
      <c r="E33" s="62"/>
      <c r="F33" s="250"/>
      <c r="N33" s="191">
        <f>IF(C34&lt;30,0,IF(C34&lt;=50,0.5,IF(C34&gt;50,1)))</f>
        <v>0</v>
      </c>
    </row>
    <row r="34" spans="1:14" x14ac:dyDescent="0.25">
      <c r="A34" s="26"/>
      <c r="B34" s="40" t="s">
        <v>207</v>
      </c>
      <c r="C34" s="188"/>
      <c r="D34" s="20"/>
      <c r="E34" s="62"/>
      <c r="F34" s="250"/>
    </row>
    <row r="35" spans="1:14" x14ac:dyDescent="0.25">
      <c r="A35" s="44" t="s">
        <v>100</v>
      </c>
      <c r="B35" s="46" t="s">
        <v>208</v>
      </c>
      <c r="C35" s="20"/>
      <c r="D35" s="20"/>
      <c r="E35" s="62"/>
      <c r="F35" s="250"/>
    </row>
    <row r="36" spans="1:14" ht="57.75" x14ac:dyDescent="0.25">
      <c r="A36" s="26"/>
      <c r="B36" s="34" t="s">
        <v>209</v>
      </c>
      <c r="C36" s="20"/>
      <c r="D36" s="66">
        <v>1.5</v>
      </c>
      <c r="E36" s="67">
        <f>SUM(N37:N39)</f>
        <v>0</v>
      </c>
      <c r="F36" s="250"/>
    </row>
    <row r="37" spans="1:14" x14ac:dyDescent="0.25">
      <c r="A37" s="26"/>
      <c r="B37" s="29" t="s">
        <v>210</v>
      </c>
      <c r="C37" s="20"/>
      <c r="D37" s="20"/>
      <c r="E37" s="62"/>
      <c r="F37" s="250"/>
      <c r="M37" s="191" t="b">
        <v>0</v>
      </c>
      <c r="N37" s="191">
        <f>IF(M37=TRUE, 0.5,0)</f>
        <v>0</v>
      </c>
    </row>
    <row r="38" spans="1:14" x14ac:dyDescent="0.25">
      <c r="A38" s="26"/>
      <c r="B38" s="29" t="s">
        <v>211</v>
      </c>
      <c r="C38" s="20"/>
      <c r="D38" s="20"/>
      <c r="E38" s="62"/>
      <c r="F38" s="250"/>
      <c r="M38" s="191" t="b">
        <v>0</v>
      </c>
      <c r="N38" s="191">
        <f>IF(M38=TRUE, 0.5,0)</f>
        <v>0</v>
      </c>
    </row>
    <row r="39" spans="1:14" ht="17.25" x14ac:dyDescent="0.3">
      <c r="A39" s="30"/>
      <c r="B39" s="31" t="s">
        <v>385</v>
      </c>
      <c r="C39" s="36"/>
      <c r="D39" s="36"/>
      <c r="E39" s="59"/>
      <c r="F39" s="250"/>
      <c r="M39" s="191" t="b">
        <v>0</v>
      </c>
      <c r="N39" s="191">
        <f>IF(M39=TRUE, 0.5,0)</f>
        <v>0</v>
      </c>
    </row>
    <row r="40" spans="1:14" x14ac:dyDescent="0.25">
      <c r="A40" s="90">
        <v>4.5</v>
      </c>
      <c r="B40" s="91" t="s">
        <v>63</v>
      </c>
      <c r="C40" s="21"/>
      <c r="D40" s="21"/>
      <c r="E40" s="60"/>
      <c r="F40" s="250"/>
    </row>
    <row r="41" spans="1:14" ht="43.5" x14ac:dyDescent="0.25">
      <c r="A41" s="26"/>
      <c r="B41" s="34" t="s">
        <v>212</v>
      </c>
      <c r="C41" s="20"/>
      <c r="D41" s="20"/>
      <c r="E41" s="62"/>
      <c r="F41" s="250"/>
    </row>
    <row r="42" spans="1:14" x14ac:dyDescent="0.25">
      <c r="A42" s="44" t="s">
        <v>97</v>
      </c>
      <c r="B42" s="46" t="s">
        <v>213</v>
      </c>
      <c r="C42" s="20"/>
      <c r="D42" s="20"/>
      <c r="E42" s="62"/>
      <c r="F42" s="250"/>
    </row>
    <row r="43" spans="1:14" ht="72" x14ac:dyDescent="0.25">
      <c r="A43" s="26"/>
      <c r="B43" s="34" t="s">
        <v>214</v>
      </c>
      <c r="C43" s="20"/>
      <c r="D43" s="66">
        <v>1</v>
      </c>
      <c r="E43" s="67">
        <f>N39:N49</f>
        <v>0</v>
      </c>
      <c r="F43" s="250"/>
      <c r="M43" s="191" t="b">
        <v>0</v>
      </c>
      <c r="N43" s="191">
        <f>IF(M43=TRUE, 1,0)</f>
        <v>0</v>
      </c>
    </row>
    <row r="44" spans="1:14" x14ac:dyDescent="0.25">
      <c r="A44" s="44" t="s">
        <v>100</v>
      </c>
      <c r="B44" s="46" t="s">
        <v>215</v>
      </c>
      <c r="C44" s="20"/>
      <c r="D44" s="66"/>
      <c r="E44" s="67"/>
      <c r="F44" s="250"/>
    </row>
    <row r="45" spans="1:14" ht="43.5" x14ac:dyDescent="0.25">
      <c r="A45" s="26"/>
      <c r="B45" s="34" t="s">
        <v>216</v>
      </c>
      <c r="C45" s="20"/>
      <c r="D45" s="66">
        <v>1</v>
      </c>
      <c r="E45" s="67">
        <f>N45</f>
        <v>0</v>
      </c>
      <c r="F45" s="250"/>
      <c r="M45" s="191" t="b">
        <v>0</v>
      </c>
      <c r="N45" s="191">
        <f t="shared" ref="N45:N74" si="1">IF(M45=TRUE, 1,0)</f>
        <v>0</v>
      </c>
    </row>
    <row r="46" spans="1:14" x14ac:dyDescent="0.25">
      <c r="A46" s="44" t="s">
        <v>104</v>
      </c>
      <c r="B46" s="46" t="s">
        <v>217</v>
      </c>
      <c r="C46" s="20"/>
      <c r="D46" s="66"/>
      <c r="E46" s="67"/>
      <c r="F46" s="250"/>
    </row>
    <row r="47" spans="1:14" ht="72" x14ac:dyDescent="0.25">
      <c r="A47" s="26"/>
      <c r="B47" s="34" t="s">
        <v>218</v>
      </c>
      <c r="C47" s="20"/>
      <c r="D47" s="66">
        <v>1</v>
      </c>
      <c r="E47" s="67">
        <f>N47</f>
        <v>0</v>
      </c>
      <c r="F47" s="250"/>
      <c r="M47" s="191" t="b">
        <v>0</v>
      </c>
      <c r="N47" s="191">
        <f t="shared" si="1"/>
        <v>0</v>
      </c>
    </row>
    <row r="48" spans="1:14" x14ac:dyDescent="0.25">
      <c r="A48" s="44" t="s">
        <v>123</v>
      </c>
      <c r="B48" s="46" t="s">
        <v>219</v>
      </c>
      <c r="C48" s="20"/>
      <c r="D48" s="66"/>
      <c r="E48" s="67"/>
      <c r="F48" s="250"/>
    </row>
    <row r="49" spans="1:15" ht="43.5" x14ac:dyDescent="0.25">
      <c r="A49" s="30"/>
      <c r="B49" s="37" t="s">
        <v>220</v>
      </c>
      <c r="C49" s="36"/>
      <c r="D49" s="68">
        <v>1</v>
      </c>
      <c r="E49" s="69">
        <f>N49</f>
        <v>0</v>
      </c>
      <c r="F49" s="250"/>
      <c r="M49" s="191" t="b">
        <v>0</v>
      </c>
      <c r="N49" s="191">
        <f t="shared" si="1"/>
        <v>0</v>
      </c>
    </row>
    <row r="50" spans="1:15" x14ac:dyDescent="0.25">
      <c r="A50" s="90">
        <v>4.5999999999999996</v>
      </c>
      <c r="B50" s="91" t="s">
        <v>64</v>
      </c>
      <c r="C50" s="21"/>
      <c r="D50" s="21"/>
      <c r="E50" s="60"/>
      <c r="F50" s="250"/>
    </row>
    <row r="51" spans="1:15" ht="114.75" x14ac:dyDescent="0.25">
      <c r="A51" s="30"/>
      <c r="B51" s="37" t="s">
        <v>221</v>
      </c>
      <c r="C51" s="36"/>
      <c r="D51" s="68">
        <v>1</v>
      </c>
      <c r="E51" s="69">
        <f>N51</f>
        <v>0</v>
      </c>
      <c r="F51" s="250"/>
      <c r="M51" s="191" t="b">
        <v>0</v>
      </c>
      <c r="N51" s="191">
        <f t="shared" si="1"/>
        <v>0</v>
      </c>
    </row>
    <row r="52" spans="1:15" x14ac:dyDescent="0.25">
      <c r="A52" s="90">
        <v>4.7</v>
      </c>
      <c r="B52" s="91" t="s">
        <v>222</v>
      </c>
      <c r="C52" s="21"/>
      <c r="D52" s="21"/>
      <c r="E52" s="60"/>
      <c r="F52" s="250"/>
    </row>
    <row r="53" spans="1:15" ht="43.5" x14ac:dyDescent="0.25">
      <c r="A53" s="26"/>
      <c r="B53" s="34" t="s">
        <v>223</v>
      </c>
      <c r="C53" s="20"/>
      <c r="D53" s="243">
        <v>2</v>
      </c>
      <c r="E53" s="245">
        <f>N54+N55</f>
        <v>0</v>
      </c>
      <c r="F53" s="250"/>
    </row>
    <row r="54" spans="1:15" ht="29.25" x14ac:dyDescent="0.25">
      <c r="A54" s="26"/>
      <c r="B54" s="34" t="s">
        <v>224</v>
      </c>
      <c r="C54" s="20"/>
      <c r="D54" s="243"/>
      <c r="E54" s="245"/>
      <c r="F54" s="250"/>
      <c r="M54" s="191" t="b">
        <v>0</v>
      </c>
      <c r="N54" s="191">
        <f t="shared" si="1"/>
        <v>0</v>
      </c>
    </row>
    <row r="55" spans="1:15" ht="29.25" x14ac:dyDescent="0.25">
      <c r="A55" s="30"/>
      <c r="B55" s="37" t="s">
        <v>225</v>
      </c>
      <c r="C55" s="36"/>
      <c r="D55" s="244"/>
      <c r="E55" s="246"/>
      <c r="F55" s="250"/>
      <c r="M55" s="191" t="b">
        <v>0</v>
      </c>
      <c r="N55" s="191">
        <f t="shared" si="1"/>
        <v>0</v>
      </c>
    </row>
    <row r="56" spans="1:15" x14ac:dyDescent="0.25">
      <c r="A56" s="90">
        <v>4.8</v>
      </c>
      <c r="B56" s="91" t="s">
        <v>65</v>
      </c>
      <c r="C56" s="21"/>
      <c r="D56" s="21"/>
      <c r="E56" s="60"/>
      <c r="F56" s="250"/>
    </row>
    <row r="57" spans="1:15" x14ac:dyDescent="0.25">
      <c r="A57" s="44" t="s">
        <v>97</v>
      </c>
      <c r="B57" s="46" t="s">
        <v>226</v>
      </c>
      <c r="C57" s="20"/>
      <c r="D57" s="20"/>
      <c r="E57" s="62"/>
      <c r="F57" s="250"/>
    </row>
    <row r="58" spans="1:15" ht="29.25" x14ac:dyDescent="0.25">
      <c r="A58" s="26"/>
      <c r="B58" s="34" t="s">
        <v>227</v>
      </c>
      <c r="C58" s="20"/>
      <c r="D58" s="243">
        <v>6</v>
      </c>
      <c r="E58" s="245">
        <f>O59</f>
        <v>0</v>
      </c>
      <c r="F58" s="250"/>
    </row>
    <row r="59" spans="1:15" ht="29.25" x14ac:dyDescent="0.25">
      <c r="A59" s="26"/>
      <c r="B59" s="40" t="s">
        <v>228</v>
      </c>
      <c r="C59" s="20"/>
      <c r="D59" s="243"/>
      <c r="E59" s="245"/>
      <c r="F59" s="250"/>
      <c r="M59" s="191" t="b">
        <v>0</v>
      </c>
      <c r="N59" s="191">
        <f>IF(M59=TRUE, 2,0)</f>
        <v>0</v>
      </c>
      <c r="O59" s="191">
        <f>IF(SUM(N59:N65)&lt;=6,SUM(N59:N65),6)</f>
        <v>0</v>
      </c>
    </row>
    <row r="60" spans="1:15" x14ac:dyDescent="0.25">
      <c r="A60" s="26"/>
      <c r="B60" s="29" t="s">
        <v>229</v>
      </c>
      <c r="C60" s="20"/>
      <c r="D60" s="243"/>
      <c r="E60" s="245"/>
      <c r="F60" s="250"/>
      <c r="M60" s="191" t="b">
        <v>0</v>
      </c>
      <c r="N60" s="191">
        <f t="shared" si="1"/>
        <v>0</v>
      </c>
    </row>
    <row r="61" spans="1:15" x14ac:dyDescent="0.25">
      <c r="A61" s="26"/>
      <c r="B61" s="29" t="s">
        <v>230</v>
      </c>
      <c r="C61" s="20"/>
      <c r="D61" s="243"/>
      <c r="E61" s="245"/>
      <c r="F61" s="250"/>
      <c r="M61" s="191" t="b">
        <v>0</v>
      </c>
      <c r="N61" s="191">
        <f t="shared" si="1"/>
        <v>0</v>
      </c>
    </row>
    <row r="62" spans="1:15" x14ac:dyDescent="0.25">
      <c r="A62" s="26"/>
      <c r="B62" s="29" t="s">
        <v>231</v>
      </c>
      <c r="C62" s="20"/>
      <c r="D62" s="243"/>
      <c r="E62" s="245"/>
      <c r="F62" s="250"/>
      <c r="M62" s="191" t="b">
        <v>0</v>
      </c>
      <c r="N62" s="191">
        <f t="shared" si="1"/>
        <v>0</v>
      </c>
    </row>
    <row r="63" spans="1:15" x14ac:dyDescent="0.25">
      <c r="A63" s="26"/>
      <c r="B63" s="29" t="s">
        <v>232</v>
      </c>
      <c r="C63" s="20"/>
      <c r="D63" s="243"/>
      <c r="E63" s="245"/>
      <c r="F63" s="250"/>
      <c r="M63" s="191" t="b">
        <v>0</v>
      </c>
      <c r="N63" s="191">
        <f t="shared" si="1"/>
        <v>0</v>
      </c>
    </row>
    <row r="64" spans="1:15" x14ac:dyDescent="0.25">
      <c r="A64" s="26"/>
      <c r="B64" s="29" t="s">
        <v>233</v>
      </c>
      <c r="C64" s="20"/>
      <c r="D64" s="243"/>
      <c r="E64" s="245"/>
      <c r="F64" s="250"/>
      <c r="M64" s="191" t="b">
        <v>0</v>
      </c>
      <c r="N64" s="191">
        <f t="shared" si="1"/>
        <v>0</v>
      </c>
    </row>
    <row r="65" spans="1:20" x14ac:dyDescent="0.25">
      <c r="A65" s="26"/>
      <c r="B65" s="29" t="s">
        <v>234</v>
      </c>
      <c r="C65" s="20"/>
      <c r="D65" s="243"/>
      <c r="E65" s="245"/>
      <c r="F65" s="250"/>
      <c r="M65" s="191" t="b">
        <v>0</v>
      </c>
      <c r="N65" s="191">
        <f t="shared" si="1"/>
        <v>0</v>
      </c>
    </row>
    <row r="66" spans="1:20" x14ac:dyDescent="0.25">
      <c r="A66" s="44" t="s">
        <v>100</v>
      </c>
      <c r="B66" s="46" t="s">
        <v>235</v>
      </c>
      <c r="C66" s="20"/>
      <c r="D66" s="243">
        <v>3</v>
      </c>
      <c r="E66" s="249">
        <f>O68</f>
        <v>0</v>
      </c>
      <c r="F66" s="250"/>
    </row>
    <row r="67" spans="1:20" ht="43.5" x14ac:dyDescent="0.25">
      <c r="A67" s="26"/>
      <c r="B67" s="34" t="s">
        <v>236</v>
      </c>
      <c r="C67" s="20"/>
      <c r="D67" s="243"/>
      <c r="E67" s="249"/>
      <c r="F67" s="250"/>
    </row>
    <row r="68" spans="1:20" ht="29.25" x14ac:dyDescent="0.25">
      <c r="A68" s="26"/>
      <c r="B68" s="40" t="s">
        <v>237</v>
      </c>
      <c r="C68" s="20"/>
      <c r="D68" s="243"/>
      <c r="E68" s="249"/>
      <c r="F68" s="250"/>
      <c r="M68" s="191" t="b">
        <v>0</v>
      </c>
      <c r="N68" s="191">
        <f t="shared" si="1"/>
        <v>0</v>
      </c>
      <c r="O68" s="191">
        <f>SUM(N68:N70)</f>
        <v>0</v>
      </c>
    </row>
    <row r="69" spans="1:20" ht="29.25" x14ac:dyDescent="0.25">
      <c r="A69" s="26"/>
      <c r="B69" s="40" t="s">
        <v>238</v>
      </c>
      <c r="C69" s="20"/>
      <c r="D69" s="243"/>
      <c r="E69" s="249"/>
      <c r="F69" s="250"/>
      <c r="M69" s="191" t="b">
        <v>0</v>
      </c>
      <c r="N69" s="191">
        <f t="shared" si="1"/>
        <v>0</v>
      </c>
    </row>
    <row r="70" spans="1:20" ht="29.25" x14ac:dyDescent="0.25">
      <c r="A70" s="26"/>
      <c r="B70" s="40" t="s">
        <v>239</v>
      </c>
      <c r="C70" s="20"/>
      <c r="D70" s="243"/>
      <c r="E70" s="249"/>
      <c r="F70" s="250"/>
      <c r="M70" s="191" t="b">
        <v>0</v>
      </c>
      <c r="N70" s="191">
        <f t="shared" si="1"/>
        <v>0</v>
      </c>
    </row>
    <row r="71" spans="1:20" ht="29.25" x14ac:dyDescent="0.25">
      <c r="A71" s="44" t="s">
        <v>104</v>
      </c>
      <c r="B71" s="45" t="s">
        <v>240</v>
      </c>
      <c r="C71" s="20"/>
      <c r="D71" s="243">
        <v>1</v>
      </c>
      <c r="E71" s="245">
        <f>N72</f>
        <v>0</v>
      </c>
      <c r="F71" s="250"/>
    </row>
    <row r="72" spans="1:20" ht="72" x14ac:dyDescent="0.25">
      <c r="A72" s="26"/>
      <c r="B72" s="34" t="s">
        <v>241</v>
      </c>
      <c r="C72" s="20"/>
      <c r="D72" s="243"/>
      <c r="E72" s="245"/>
      <c r="F72" s="250"/>
      <c r="M72" s="191" t="b">
        <v>0</v>
      </c>
      <c r="N72" s="191">
        <f t="shared" si="1"/>
        <v>0</v>
      </c>
    </row>
    <row r="73" spans="1:20" x14ac:dyDescent="0.25">
      <c r="A73" s="44" t="s">
        <v>123</v>
      </c>
      <c r="B73" s="46" t="s">
        <v>242</v>
      </c>
      <c r="C73" s="20"/>
      <c r="D73" s="243">
        <v>1</v>
      </c>
      <c r="E73" s="245">
        <f>N74</f>
        <v>0</v>
      </c>
      <c r="F73" s="250"/>
    </row>
    <row r="74" spans="1:20" ht="29.25" x14ac:dyDescent="0.25">
      <c r="A74" s="30"/>
      <c r="B74" s="37" t="s">
        <v>243</v>
      </c>
      <c r="C74" s="36"/>
      <c r="D74" s="244"/>
      <c r="E74" s="246"/>
      <c r="F74" s="250"/>
      <c r="M74" s="191" t="b">
        <v>0</v>
      </c>
      <c r="N74" s="191">
        <f t="shared" si="1"/>
        <v>0</v>
      </c>
    </row>
    <row r="75" spans="1:20" x14ac:dyDescent="0.25">
      <c r="A75" s="90">
        <v>4.9000000000000004</v>
      </c>
      <c r="B75" s="91" t="s">
        <v>66</v>
      </c>
      <c r="C75" s="21"/>
      <c r="D75" s="21"/>
      <c r="E75" s="60"/>
      <c r="F75" s="250"/>
    </row>
    <row r="76" spans="1:20" ht="72" x14ac:dyDescent="0.25">
      <c r="A76" s="26"/>
      <c r="B76" s="34" t="s">
        <v>386</v>
      </c>
      <c r="C76" s="20"/>
      <c r="D76" s="256">
        <v>5</v>
      </c>
      <c r="E76" s="245">
        <f>O78+P84</f>
        <v>0</v>
      </c>
      <c r="F76" s="250"/>
    </row>
    <row r="77" spans="1:20" x14ac:dyDescent="0.25">
      <c r="A77" s="26"/>
      <c r="B77" s="170" t="s">
        <v>249</v>
      </c>
      <c r="C77" s="20"/>
      <c r="D77" s="256"/>
      <c r="E77" s="245"/>
      <c r="F77" s="250"/>
    </row>
    <row r="78" spans="1:20" x14ac:dyDescent="0.25">
      <c r="A78" s="26"/>
      <c r="B78" s="40" t="s">
        <v>244</v>
      </c>
      <c r="C78" s="20"/>
      <c r="D78" s="256"/>
      <c r="E78" s="245"/>
      <c r="F78" s="250"/>
      <c r="M78" s="191" t="b">
        <v>0</v>
      </c>
      <c r="N78" s="191">
        <f>IF(M78=TRUE, 0.5,0)</f>
        <v>0</v>
      </c>
      <c r="O78" s="191">
        <f>IF(SUM(N78:N82)&lt;=2,SUM(N78:N82),2)</f>
        <v>0</v>
      </c>
      <c r="Q78" s="191" t="s">
        <v>404</v>
      </c>
      <c r="T78" t="s">
        <v>411</v>
      </c>
    </row>
    <row r="79" spans="1:20" x14ac:dyDescent="0.25">
      <c r="A79" s="26"/>
      <c r="B79" s="40" t="s">
        <v>245</v>
      </c>
      <c r="C79" s="20"/>
      <c r="D79" s="256"/>
      <c r="E79" s="245"/>
      <c r="F79" s="250"/>
      <c r="M79" s="191" t="b">
        <v>0</v>
      </c>
      <c r="N79" s="191">
        <f t="shared" ref="N79:N82" si="2">IF(M79=TRUE, 0.5,0)</f>
        <v>0</v>
      </c>
      <c r="Q79" s="191" t="s">
        <v>405</v>
      </c>
      <c r="T79" t="s">
        <v>412</v>
      </c>
    </row>
    <row r="80" spans="1:20" x14ac:dyDescent="0.25">
      <c r="A80" s="26"/>
      <c r="B80" s="40" t="s">
        <v>246</v>
      </c>
      <c r="C80" s="20"/>
      <c r="D80" s="256"/>
      <c r="E80" s="245"/>
      <c r="F80" s="250"/>
      <c r="M80" s="191" t="b">
        <v>0</v>
      </c>
      <c r="N80" s="191">
        <f t="shared" si="2"/>
        <v>0</v>
      </c>
      <c r="Q80" s="191" t="s">
        <v>407</v>
      </c>
      <c r="T80" t="s">
        <v>413</v>
      </c>
    </row>
    <row r="81" spans="1:20" x14ac:dyDescent="0.25">
      <c r="A81" s="26"/>
      <c r="B81" s="40" t="s">
        <v>247</v>
      </c>
      <c r="C81" s="20"/>
      <c r="D81" s="256"/>
      <c r="E81" s="245"/>
      <c r="F81" s="250"/>
      <c r="M81" s="191" t="b">
        <v>0</v>
      </c>
      <c r="N81" s="191">
        <f t="shared" si="2"/>
        <v>0</v>
      </c>
      <c r="Q81" s="191" t="s">
        <v>406</v>
      </c>
      <c r="T81" t="s">
        <v>414</v>
      </c>
    </row>
    <row r="82" spans="1:20" x14ac:dyDescent="0.25">
      <c r="A82" s="26"/>
      <c r="B82" s="40" t="s">
        <v>248</v>
      </c>
      <c r="C82" s="20"/>
      <c r="D82" s="256"/>
      <c r="E82" s="245"/>
      <c r="F82" s="250"/>
      <c r="M82" s="191" t="b">
        <v>0</v>
      </c>
      <c r="N82" s="191">
        <f t="shared" si="2"/>
        <v>0</v>
      </c>
      <c r="Q82" s="191" t="s">
        <v>408</v>
      </c>
    </row>
    <row r="83" spans="1:20" x14ac:dyDescent="0.25">
      <c r="A83" s="26"/>
      <c r="B83" s="170" t="s">
        <v>250</v>
      </c>
      <c r="C83" s="20"/>
      <c r="D83" s="256"/>
      <c r="E83" s="245"/>
      <c r="F83" s="250"/>
    </row>
    <row r="84" spans="1:20" ht="29.25" x14ac:dyDescent="0.25">
      <c r="A84" s="30"/>
      <c r="B84" s="35" t="s">
        <v>387</v>
      </c>
      <c r="C84" s="188"/>
      <c r="D84" s="272"/>
      <c r="E84" s="246"/>
      <c r="F84" s="250"/>
      <c r="O84" s="191">
        <f>IF(C84=0,0,(C84/25))</f>
        <v>0</v>
      </c>
      <c r="P84" s="191">
        <f>IF(O84&lt;=3,O84,3)</f>
        <v>0</v>
      </c>
    </row>
    <row r="85" spans="1:20" x14ac:dyDescent="0.25">
      <c r="A85" s="171">
        <v>4.0999999999999996</v>
      </c>
      <c r="B85" s="91" t="s">
        <v>67</v>
      </c>
      <c r="C85" s="21"/>
      <c r="D85" s="21"/>
      <c r="E85" s="60"/>
      <c r="F85" s="250"/>
    </row>
    <row r="86" spans="1:20" ht="42.75" x14ac:dyDescent="0.25">
      <c r="A86" s="26"/>
      <c r="B86" s="172" t="s">
        <v>251</v>
      </c>
      <c r="C86" s="20"/>
      <c r="D86" s="20"/>
      <c r="E86" s="62"/>
      <c r="F86" s="250"/>
    </row>
    <row r="87" spans="1:20" x14ac:dyDescent="0.25">
      <c r="A87" s="44" t="s">
        <v>97</v>
      </c>
      <c r="B87" s="46" t="s">
        <v>252</v>
      </c>
      <c r="C87" s="20"/>
      <c r="D87" s="243">
        <v>2</v>
      </c>
      <c r="E87" s="245">
        <f>O88</f>
        <v>0</v>
      </c>
      <c r="F87" s="250"/>
    </row>
    <row r="88" spans="1:20" ht="76.5" customHeight="1" x14ac:dyDescent="0.25">
      <c r="A88" s="26"/>
      <c r="B88" s="34"/>
      <c r="C88" s="273"/>
      <c r="D88" s="243"/>
      <c r="E88" s="245"/>
      <c r="F88" s="250"/>
      <c r="N88" s="191">
        <f>IF(AND(P88&gt;1,C88&gt;0),0.5,0)</f>
        <v>0</v>
      </c>
      <c r="O88" s="191">
        <f>IF(SUM(N88:N95)&lt;=2,SUM(N88:N95),2)</f>
        <v>0</v>
      </c>
      <c r="P88" s="191">
        <v>2</v>
      </c>
    </row>
    <row r="89" spans="1:20" ht="59.25" customHeight="1" x14ac:dyDescent="0.25">
      <c r="A89" s="26"/>
      <c r="B89" s="217" t="s">
        <v>409</v>
      </c>
      <c r="C89" s="274"/>
      <c r="D89" s="243"/>
      <c r="E89" s="245"/>
      <c r="F89" s="250"/>
    </row>
    <row r="90" spans="1:20" ht="79.5" customHeight="1" x14ac:dyDescent="0.25">
      <c r="A90" s="26"/>
      <c r="B90" s="34"/>
      <c r="C90" s="273"/>
      <c r="D90" s="243"/>
      <c r="E90" s="245"/>
      <c r="F90" s="250"/>
      <c r="N90" s="191">
        <f>IF(AND(P90&gt;1,C90&gt;0),0.5,0)</f>
        <v>0</v>
      </c>
      <c r="P90" s="191">
        <v>1</v>
      </c>
    </row>
    <row r="91" spans="1:20" ht="58.5" customHeight="1" x14ac:dyDescent="0.25">
      <c r="A91" s="26"/>
      <c r="B91" s="217" t="s">
        <v>409</v>
      </c>
      <c r="C91" s="274"/>
      <c r="D91" s="243"/>
      <c r="E91" s="245"/>
      <c r="F91" s="250"/>
    </row>
    <row r="92" spans="1:20" ht="84" customHeight="1" x14ac:dyDescent="0.25">
      <c r="A92" s="26"/>
      <c r="B92" s="34"/>
      <c r="C92" s="273"/>
      <c r="D92" s="243"/>
      <c r="E92" s="245"/>
      <c r="F92" s="250"/>
      <c r="N92" s="191">
        <f>IF(AND(P92&gt;1,C92&gt;0),0.5,0)</f>
        <v>0</v>
      </c>
      <c r="P92" s="191">
        <v>1</v>
      </c>
    </row>
    <row r="93" spans="1:20" ht="58.5" customHeight="1" x14ac:dyDescent="0.25">
      <c r="A93" s="26"/>
      <c r="B93" s="217" t="s">
        <v>409</v>
      </c>
      <c r="C93" s="274"/>
      <c r="D93" s="243"/>
      <c r="E93" s="245"/>
      <c r="F93" s="250"/>
      <c r="M93" s="191" t="b">
        <v>0</v>
      </c>
      <c r="N93" s="191">
        <f>IF(AND(P94&gt;1,C94&gt;0),0.5,0)</f>
        <v>0</v>
      </c>
    </row>
    <row r="94" spans="1:20" ht="76.5" customHeight="1" x14ac:dyDescent="0.25">
      <c r="A94" s="26"/>
      <c r="B94" s="217"/>
      <c r="C94" s="273"/>
      <c r="D94" s="243"/>
      <c r="E94" s="245"/>
      <c r="F94" s="250"/>
      <c r="P94" s="191">
        <v>4</v>
      </c>
    </row>
    <row r="95" spans="1:20" ht="63" customHeight="1" x14ac:dyDescent="0.25">
      <c r="A95" s="26"/>
      <c r="B95" s="217" t="s">
        <v>409</v>
      </c>
      <c r="C95" s="274"/>
      <c r="D95" s="243"/>
      <c r="E95" s="245"/>
      <c r="F95" s="250"/>
    </row>
    <row r="96" spans="1:20" x14ac:dyDescent="0.25">
      <c r="A96" s="44" t="s">
        <v>100</v>
      </c>
      <c r="B96" s="46" t="s">
        <v>253</v>
      </c>
      <c r="C96" s="20"/>
      <c r="D96" s="243">
        <v>3</v>
      </c>
      <c r="E96" s="245">
        <f>O97</f>
        <v>0</v>
      </c>
      <c r="F96" s="250"/>
    </row>
    <row r="97" spans="1:16" ht="72" customHeight="1" x14ac:dyDescent="0.25">
      <c r="A97" s="26"/>
      <c r="B97" s="34"/>
      <c r="C97" s="273"/>
      <c r="D97" s="243"/>
      <c r="E97" s="245"/>
      <c r="F97" s="250"/>
      <c r="N97" s="191">
        <f>IF(AND(P97&gt;1,C97&gt;0),1,0)</f>
        <v>0</v>
      </c>
      <c r="O97" s="191">
        <f>IF(SUM(N97:N102)&lt;=3,SUM(N97:N102),3)</f>
        <v>0</v>
      </c>
      <c r="P97" s="191">
        <v>2</v>
      </c>
    </row>
    <row r="98" spans="1:16" ht="78.75" customHeight="1" x14ac:dyDescent="0.25">
      <c r="A98" s="26"/>
      <c r="B98" s="217" t="s">
        <v>410</v>
      </c>
      <c r="C98" s="274"/>
      <c r="D98" s="243"/>
      <c r="E98" s="245"/>
      <c r="F98" s="250"/>
    </row>
    <row r="99" spans="1:16" ht="63.75" customHeight="1" x14ac:dyDescent="0.25">
      <c r="A99" s="26"/>
      <c r="B99" s="34"/>
      <c r="C99" s="273"/>
      <c r="D99" s="243"/>
      <c r="E99" s="245"/>
      <c r="F99" s="250"/>
      <c r="N99" s="191">
        <f>IF(AND(P99&gt;1,C99&gt;0),1,0)</f>
        <v>0</v>
      </c>
      <c r="P99" s="191">
        <v>1</v>
      </c>
    </row>
    <row r="100" spans="1:16" ht="78" customHeight="1" x14ac:dyDescent="0.25">
      <c r="A100" s="26"/>
      <c r="B100" s="217" t="s">
        <v>410</v>
      </c>
      <c r="C100" s="274"/>
      <c r="D100" s="243"/>
      <c r="E100" s="245"/>
      <c r="F100" s="250"/>
    </row>
    <row r="101" spans="1:16" ht="63" customHeight="1" x14ac:dyDescent="0.25">
      <c r="A101" s="26"/>
      <c r="B101" s="34"/>
      <c r="C101" s="273"/>
      <c r="D101" s="243"/>
      <c r="E101" s="245"/>
      <c r="F101" s="250"/>
      <c r="N101" s="191">
        <f>IF(AND(P101&gt;1,C101&gt;0),1,0)</f>
        <v>0</v>
      </c>
      <c r="P101" s="191">
        <v>1</v>
      </c>
    </row>
    <row r="102" spans="1:16" ht="102.75" customHeight="1" x14ac:dyDescent="0.25">
      <c r="A102" s="30"/>
      <c r="B102" s="217" t="s">
        <v>410</v>
      </c>
      <c r="C102" s="274"/>
      <c r="D102" s="244"/>
      <c r="E102" s="246"/>
      <c r="F102" s="250"/>
    </row>
  </sheetData>
  <sheetProtection algorithmName="SHA-512" hashValue="7Zzs3rRrOFP6ZexIvIWVTS7p1fGASmjtkVH4/TKc1j2IcL5inU0aVMUGNk1mOfUJXzcbnXFclinHZkiJNFIXRw==" saltValue="NXVYXBQjiqGkflmHD8CqMw==" spinCount="100000" sheet="1" objects="1" scenarios="1"/>
  <mergeCells count="49">
    <mergeCell ref="C99:C100"/>
    <mergeCell ref="C101:C102"/>
    <mergeCell ref="C88:C89"/>
    <mergeCell ref="C90:C91"/>
    <mergeCell ref="C92:C93"/>
    <mergeCell ref="C94:C95"/>
    <mergeCell ref="C97:C98"/>
    <mergeCell ref="D66:D70"/>
    <mergeCell ref="E66:E70"/>
    <mergeCell ref="D87:D95"/>
    <mergeCell ref="D96:D102"/>
    <mergeCell ref="E87:E95"/>
    <mergeCell ref="E96:E102"/>
    <mergeCell ref="D71:D72"/>
    <mergeCell ref="E71:E72"/>
    <mergeCell ref="D73:D74"/>
    <mergeCell ref="E73:E74"/>
    <mergeCell ref="D76:D84"/>
    <mergeCell ref="E76:E84"/>
    <mergeCell ref="E14:E15"/>
    <mergeCell ref="D53:D55"/>
    <mergeCell ref="E53:E55"/>
    <mergeCell ref="D58:D65"/>
    <mergeCell ref="E58:E65"/>
    <mergeCell ref="F52:F55"/>
    <mergeCell ref="F56:F74"/>
    <mergeCell ref="F75:F84"/>
    <mergeCell ref="F85:F102"/>
    <mergeCell ref="F9:F17"/>
    <mergeCell ref="F18:F23"/>
    <mergeCell ref="F24:F29"/>
    <mergeCell ref="F30:F39"/>
    <mergeCell ref="F40:F49"/>
    <mergeCell ref="C3:D3"/>
    <mergeCell ref="C4:D4"/>
    <mergeCell ref="C5:D5"/>
    <mergeCell ref="C6:D6"/>
    <mergeCell ref="F50:F51"/>
    <mergeCell ref="D16:D17"/>
    <mergeCell ref="E16:E17"/>
    <mergeCell ref="D20:D21"/>
    <mergeCell ref="D22:D23"/>
    <mergeCell ref="E20:E21"/>
    <mergeCell ref="E22:E23"/>
    <mergeCell ref="D10:D11"/>
    <mergeCell ref="E10:E11"/>
    <mergeCell ref="D12:D13"/>
    <mergeCell ref="E12:E13"/>
    <mergeCell ref="D14:D15"/>
  </mergeCells>
  <conditionalFormatting sqref="C4:D4">
    <cfRule type="expression" dxfId="5" priority="5">
      <formula>$N$4=1</formula>
    </cfRule>
    <cfRule type="expression" dxfId="4" priority="6">
      <formula>$N$4=0</formula>
    </cfRule>
  </conditionalFormatting>
  <conditionalFormatting sqref="C5:D5">
    <cfRule type="expression" dxfId="3" priority="3">
      <formula>$N$5=1</formula>
    </cfRule>
    <cfRule type="expression" dxfId="2" priority="4">
      <formula>$N$5=0</formula>
    </cfRule>
  </conditionalFormatting>
  <conditionalFormatting sqref="C6:D6">
    <cfRule type="expression" dxfId="1" priority="1">
      <formula>$N$6=1</formula>
    </cfRule>
    <cfRule type="expression" dxfId="0" priority="2">
      <formula>$N$6=0</formula>
    </cfRule>
  </conditionalFormatting>
  <dataValidations count="1">
    <dataValidation type="decimal" allowBlank="1" showInputMessage="1" showErrorMessage="1" sqref="C34 C84" xr:uid="{00000000-0002-0000-0500-000000000000}">
      <formula1>0</formula1>
      <formula2>100</formula2>
    </dataValidation>
  </dataValidations>
  <pageMargins left="0.7" right="0.7" top="0.75" bottom="0.75" header="0.3" footer="0.3"/>
  <pageSetup paperSize="9" scale="47" orientation="portrait" r:id="rId1"/>
  <rowBreaks count="2" manualBreakCount="2">
    <brk id="49" max="23" man="1"/>
    <brk id="84" max="23" man="1"/>
  </rowBreaks>
  <colBreaks count="1" manualBreakCount="1">
    <brk id="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ltText="">
                <anchor moveWithCells="1">
                  <from>
                    <xdr:col>2</xdr:col>
                    <xdr:colOff>561975</xdr:colOff>
                    <xdr:row>8</xdr:row>
                    <xdr:rowOff>361950</xdr:rowOff>
                  </from>
                  <to>
                    <xdr:col>3</xdr:col>
                    <xdr:colOff>85725</xdr:colOff>
                    <xdr:row>10</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ltText="">
                <anchor moveWithCells="1">
                  <from>
                    <xdr:col>2</xdr:col>
                    <xdr:colOff>590550</xdr:colOff>
                    <xdr:row>10</xdr:row>
                    <xdr:rowOff>542925</xdr:rowOff>
                  </from>
                  <to>
                    <xdr:col>3</xdr:col>
                    <xdr:colOff>114300</xdr:colOff>
                    <xdr:row>12</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ltText="">
                <anchor moveWithCells="1">
                  <from>
                    <xdr:col>2</xdr:col>
                    <xdr:colOff>609600</xdr:colOff>
                    <xdr:row>12</xdr:row>
                    <xdr:rowOff>542925</xdr:rowOff>
                  </from>
                  <to>
                    <xdr:col>3</xdr:col>
                    <xdr:colOff>133350</xdr:colOff>
                    <xdr:row>14</xdr:row>
                    <xdr:rowOff>19050</xdr:rowOff>
                  </to>
                </anchor>
              </controlPr>
            </control>
          </mc:Choice>
        </mc:AlternateContent>
        <mc:AlternateContent xmlns:mc="http://schemas.openxmlformats.org/markup-compatibility/2006">
          <mc:Choice Requires="x14">
            <control shapeId="7172" r:id="rId7" name="Check Box 4">
              <controlPr defaultSize="0" autoFill="0" autoLine="0" autoPict="0" altText="">
                <anchor moveWithCells="1">
                  <from>
                    <xdr:col>2</xdr:col>
                    <xdr:colOff>561975</xdr:colOff>
                    <xdr:row>14</xdr:row>
                    <xdr:rowOff>1085850</xdr:rowOff>
                  </from>
                  <to>
                    <xdr:col>3</xdr:col>
                    <xdr:colOff>85725</xdr:colOff>
                    <xdr:row>16</xdr:row>
                    <xdr:rowOff>19050</xdr:rowOff>
                  </to>
                </anchor>
              </controlPr>
            </control>
          </mc:Choice>
        </mc:AlternateContent>
        <mc:AlternateContent xmlns:mc="http://schemas.openxmlformats.org/markup-compatibility/2006">
          <mc:Choice Requires="x14">
            <control shapeId="7173" r:id="rId8" name="Check Box 5">
              <controlPr defaultSize="0" autoFill="0" autoLine="0" autoPict="0" altText="">
                <anchor moveWithCells="1">
                  <from>
                    <xdr:col>2</xdr:col>
                    <xdr:colOff>590550</xdr:colOff>
                    <xdr:row>18</xdr:row>
                    <xdr:rowOff>561975</xdr:rowOff>
                  </from>
                  <to>
                    <xdr:col>3</xdr:col>
                    <xdr:colOff>114300</xdr:colOff>
                    <xdr:row>20</xdr:row>
                    <xdr:rowOff>28575</xdr:rowOff>
                  </to>
                </anchor>
              </controlPr>
            </control>
          </mc:Choice>
        </mc:AlternateContent>
        <mc:AlternateContent xmlns:mc="http://schemas.openxmlformats.org/markup-compatibility/2006">
          <mc:Choice Requires="x14">
            <control shapeId="7174" r:id="rId9" name="Check Box 6">
              <controlPr defaultSize="0" autoFill="0" autoLine="0" autoPict="0" altText="">
                <anchor moveWithCells="1">
                  <from>
                    <xdr:col>2</xdr:col>
                    <xdr:colOff>609600</xdr:colOff>
                    <xdr:row>20</xdr:row>
                    <xdr:rowOff>561975</xdr:rowOff>
                  </from>
                  <to>
                    <xdr:col>3</xdr:col>
                    <xdr:colOff>133350</xdr:colOff>
                    <xdr:row>22</xdr:row>
                    <xdr:rowOff>28575</xdr:rowOff>
                  </to>
                </anchor>
              </controlPr>
            </control>
          </mc:Choice>
        </mc:AlternateContent>
        <mc:AlternateContent xmlns:mc="http://schemas.openxmlformats.org/markup-compatibility/2006">
          <mc:Choice Requires="x14">
            <control shapeId="7175" r:id="rId10" name="Check Box 7">
              <controlPr defaultSize="0" autoFill="0" autoLine="0" autoPict="0" altText="">
                <anchor moveWithCells="1">
                  <from>
                    <xdr:col>2</xdr:col>
                    <xdr:colOff>590550</xdr:colOff>
                    <xdr:row>25</xdr:row>
                    <xdr:rowOff>371475</xdr:rowOff>
                  </from>
                  <to>
                    <xdr:col>3</xdr:col>
                    <xdr:colOff>114300</xdr:colOff>
                    <xdr:row>25</xdr:row>
                    <xdr:rowOff>590550</xdr:rowOff>
                  </to>
                </anchor>
              </controlPr>
            </control>
          </mc:Choice>
        </mc:AlternateContent>
        <mc:AlternateContent xmlns:mc="http://schemas.openxmlformats.org/markup-compatibility/2006">
          <mc:Choice Requires="x14">
            <control shapeId="7176" r:id="rId11" name="Check Box 8">
              <controlPr defaultSize="0" autoFill="0" autoLine="0" autoPict="0" altText="">
                <anchor moveWithCells="1">
                  <from>
                    <xdr:col>2</xdr:col>
                    <xdr:colOff>590550</xdr:colOff>
                    <xdr:row>27</xdr:row>
                    <xdr:rowOff>66675</xdr:rowOff>
                  </from>
                  <to>
                    <xdr:col>3</xdr:col>
                    <xdr:colOff>114300</xdr:colOff>
                    <xdr:row>27</xdr:row>
                    <xdr:rowOff>285750</xdr:rowOff>
                  </to>
                </anchor>
              </controlPr>
            </control>
          </mc:Choice>
        </mc:AlternateContent>
        <mc:AlternateContent xmlns:mc="http://schemas.openxmlformats.org/markup-compatibility/2006">
          <mc:Choice Requires="x14">
            <control shapeId="7177" r:id="rId12" name="Check Box 9">
              <controlPr defaultSize="0" autoFill="0" autoLine="0" autoPict="0" altText="">
                <anchor moveWithCells="1">
                  <from>
                    <xdr:col>2</xdr:col>
                    <xdr:colOff>600075</xdr:colOff>
                    <xdr:row>28</xdr:row>
                    <xdr:rowOff>66675</xdr:rowOff>
                  </from>
                  <to>
                    <xdr:col>3</xdr:col>
                    <xdr:colOff>123825</xdr:colOff>
                    <xdr:row>28</xdr:row>
                    <xdr:rowOff>285750</xdr:rowOff>
                  </to>
                </anchor>
              </controlPr>
            </control>
          </mc:Choice>
        </mc:AlternateContent>
        <mc:AlternateContent xmlns:mc="http://schemas.openxmlformats.org/markup-compatibility/2006">
          <mc:Choice Requires="x14">
            <control shapeId="7178" r:id="rId13" name="Check Box 10">
              <controlPr defaultSize="0" autoFill="0" autoLine="0" autoPict="0" altText="">
                <anchor moveWithCells="1">
                  <from>
                    <xdr:col>2</xdr:col>
                    <xdr:colOff>533400</xdr:colOff>
                    <xdr:row>35</xdr:row>
                    <xdr:rowOff>752475</xdr:rowOff>
                  </from>
                  <to>
                    <xdr:col>3</xdr:col>
                    <xdr:colOff>57150</xdr:colOff>
                    <xdr:row>37</xdr:row>
                    <xdr:rowOff>28575</xdr:rowOff>
                  </to>
                </anchor>
              </controlPr>
            </control>
          </mc:Choice>
        </mc:AlternateContent>
        <mc:AlternateContent xmlns:mc="http://schemas.openxmlformats.org/markup-compatibility/2006">
          <mc:Choice Requires="x14">
            <control shapeId="7179" r:id="rId14" name="Check Box 11">
              <controlPr defaultSize="0" autoFill="0" autoLine="0" autoPict="0" altText="">
                <anchor moveWithCells="1">
                  <from>
                    <xdr:col>2</xdr:col>
                    <xdr:colOff>542925</xdr:colOff>
                    <xdr:row>36</xdr:row>
                    <xdr:rowOff>180975</xdr:rowOff>
                  </from>
                  <to>
                    <xdr:col>3</xdr:col>
                    <xdr:colOff>66675</xdr:colOff>
                    <xdr:row>38</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ltText="">
                <anchor moveWithCells="1">
                  <from>
                    <xdr:col>2</xdr:col>
                    <xdr:colOff>552450</xdr:colOff>
                    <xdr:row>37</xdr:row>
                    <xdr:rowOff>190500</xdr:rowOff>
                  </from>
                  <to>
                    <xdr:col>3</xdr:col>
                    <xdr:colOff>76200</xdr:colOff>
                    <xdr:row>39</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ltText="">
                <anchor moveWithCells="1">
                  <from>
                    <xdr:col>2</xdr:col>
                    <xdr:colOff>542925</xdr:colOff>
                    <xdr:row>42</xdr:row>
                    <xdr:rowOff>323850</xdr:rowOff>
                  </from>
                  <to>
                    <xdr:col>3</xdr:col>
                    <xdr:colOff>66675</xdr:colOff>
                    <xdr:row>42</xdr:row>
                    <xdr:rowOff>542925</xdr:rowOff>
                  </to>
                </anchor>
              </controlPr>
            </control>
          </mc:Choice>
        </mc:AlternateContent>
        <mc:AlternateContent xmlns:mc="http://schemas.openxmlformats.org/markup-compatibility/2006">
          <mc:Choice Requires="x14">
            <control shapeId="7182" r:id="rId17" name="Check Box 14">
              <controlPr defaultSize="0" autoFill="0" autoLine="0" autoPict="0" altText="">
                <anchor moveWithCells="1">
                  <from>
                    <xdr:col>2</xdr:col>
                    <xdr:colOff>552450</xdr:colOff>
                    <xdr:row>44</xdr:row>
                    <xdr:rowOff>133350</xdr:rowOff>
                  </from>
                  <to>
                    <xdr:col>3</xdr:col>
                    <xdr:colOff>76200</xdr:colOff>
                    <xdr:row>44</xdr:row>
                    <xdr:rowOff>352425</xdr:rowOff>
                  </to>
                </anchor>
              </controlPr>
            </control>
          </mc:Choice>
        </mc:AlternateContent>
        <mc:AlternateContent xmlns:mc="http://schemas.openxmlformats.org/markup-compatibility/2006">
          <mc:Choice Requires="x14">
            <control shapeId="7183" r:id="rId18" name="Check Box 15">
              <controlPr defaultSize="0" autoFill="0" autoLine="0" autoPict="0" altText="">
                <anchor moveWithCells="1">
                  <from>
                    <xdr:col>2</xdr:col>
                    <xdr:colOff>600075</xdr:colOff>
                    <xdr:row>46</xdr:row>
                    <xdr:rowOff>285750</xdr:rowOff>
                  </from>
                  <to>
                    <xdr:col>3</xdr:col>
                    <xdr:colOff>123825</xdr:colOff>
                    <xdr:row>46</xdr:row>
                    <xdr:rowOff>504825</xdr:rowOff>
                  </to>
                </anchor>
              </controlPr>
            </control>
          </mc:Choice>
        </mc:AlternateContent>
        <mc:AlternateContent xmlns:mc="http://schemas.openxmlformats.org/markup-compatibility/2006">
          <mc:Choice Requires="x14">
            <control shapeId="7184" r:id="rId19" name="Check Box 16">
              <controlPr defaultSize="0" autoFill="0" autoLine="0" autoPict="0" altText="">
                <anchor moveWithCells="1">
                  <from>
                    <xdr:col>2</xdr:col>
                    <xdr:colOff>619125</xdr:colOff>
                    <xdr:row>48</xdr:row>
                    <xdr:rowOff>133350</xdr:rowOff>
                  </from>
                  <to>
                    <xdr:col>3</xdr:col>
                    <xdr:colOff>142875</xdr:colOff>
                    <xdr:row>48</xdr:row>
                    <xdr:rowOff>352425</xdr:rowOff>
                  </to>
                </anchor>
              </controlPr>
            </control>
          </mc:Choice>
        </mc:AlternateContent>
        <mc:AlternateContent xmlns:mc="http://schemas.openxmlformats.org/markup-compatibility/2006">
          <mc:Choice Requires="x14">
            <control shapeId="7185" r:id="rId20" name="Check Box 17">
              <controlPr defaultSize="0" autoFill="0" autoLine="0" autoPict="0" altText="">
                <anchor moveWithCells="1">
                  <from>
                    <xdr:col>2</xdr:col>
                    <xdr:colOff>619125</xdr:colOff>
                    <xdr:row>50</xdr:row>
                    <xdr:rowOff>619125</xdr:rowOff>
                  </from>
                  <to>
                    <xdr:col>3</xdr:col>
                    <xdr:colOff>142875</xdr:colOff>
                    <xdr:row>50</xdr:row>
                    <xdr:rowOff>838200</xdr:rowOff>
                  </to>
                </anchor>
              </controlPr>
            </control>
          </mc:Choice>
        </mc:AlternateContent>
        <mc:AlternateContent xmlns:mc="http://schemas.openxmlformats.org/markup-compatibility/2006">
          <mc:Choice Requires="x14">
            <control shapeId="7186" r:id="rId21" name="Check Box 18">
              <controlPr defaultSize="0" autoFill="0" autoLine="0" autoPict="0" altText="">
                <anchor moveWithCells="1">
                  <from>
                    <xdr:col>2</xdr:col>
                    <xdr:colOff>628650</xdr:colOff>
                    <xdr:row>53</xdr:row>
                    <xdr:rowOff>47625</xdr:rowOff>
                  </from>
                  <to>
                    <xdr:col>3</xdr:col>
                    <xdr:colOff>152400</xdr:colOff>
                    <xdr:row>53</xdr:row>
                    <xdr:rowOff>266700</xdr:rowOff>
                  </to>
                </anchor>
              </controlPr>
            </control>
          </mc:Choice>
        </mc:AlternateContent>
        <mc:AlternateContent xmlns:mc="http://schemas.openxmlformats.org/markup-compatibility/2006">
          <mc:Choice Requires="x14">
            <control shapeId="7187" r:id="rId22" name="Check Box 19">
              <controlPr defaultSize="0" autoFill="0" autoLine="0" autoPict="0" altText="">
                <anchor moveWithCells="1">
                  <from>
                    <xdr:col>2</xdr:col>
                    <xdr:colOff>638175</xdr:colOff>
                    <xdr:row>54</xdr:row>
                    <xdr:rowOff>47625</xdr:rowOff>
                  </from>
                  <to>
                    <xdr:col>3</xdr:col>
                    <xdr:colOff>161925</xdr:colOff>
                    <xdr:row>54</xdr:row>
                    <xdr:rowOff>266700</xdr:rowOff>
                  </to>
                </anchor>
              </controlPr>
            </control>
          </mc:Choice>
        </mc:AlternateContent>
        <mc:AlternateContent xmlns:mc="http://schemas.openxmlformats.org/markup-compatibility/2006">
          <mc:Choice Requires="x14">
            <control shapeId="7188" r:id="rId23" name="Check Box 20">
              <controlPr defaultSize="0" autoFill="0" autoLine="0" autoPict="0" altText="">
                <anchor moveWithCells="1">
                  <from>
                    <xdr:col>2</xdr:col>
                    <xdr:colOff>590550</xdr:colOff>
                    <xdr:row>58</xdr:row>
                    <xdr:rowOff>57150</xdr:rowOff>
                  </from>
                  <to>
                    <xdr:col>3</xdr:col>
                    <xdr:colOff>114300</xdr:colOff>
                    <xdr:row>58</xdr:row>
                    <xdr:rowOff>276225</xdr:rowOff>
                  </to>
                </anchor>
              </controlPr>
            </control>
          </mc:Choice>
        </mc:AlternateContent>
        <mc:AlternateContent xmlns:mc="http://schemas.openxmlformats.org/markup-compatibility/2006">
          <mc:Choice Requires="x14">
            <control shapeId="7189" r:id="rId24" name="Check Box 21">
              <controlPr defaultSize="0" autoFill="0" autoLine="0" autoPict="0" altText="">
                <anchor moveWithCells="1">
                  <from>
                    <xdr:col>2</xdr:col>
                    <xdr:colOff>600075</xdr:colOff>
                    <xdr:row>58</xdr:row>
                    <xdr:rowOff>352425</xdr:rowOff>
                  </from>
                  <to>
                    <xdr:col>3</xdr:col>
                    <xdr:colOff>123825</xdr:colOff>
                    <xdr:row>60</xdr:row>
                    <xdr:rowOff>9525</xdr:rowOff>
                  </to>
                </anchor>
              </controlPr>
            </control>
          </mc:Choice>
        </mc:AlternateContent>
        <mc:AlternateContent xmlns:mc="http://schemas.openxmlformats.org/markup-compatibility/2006">
          <mc:Choice Requires="x14">
            <control shapeId="7190" r:id="rId25" name="Check Box 22">
              <controlPr defaultSize="0" autoFill="0" autoLine="0" autoPict="0" altText="">
                <anchor moveWithCells="1">
                  <from>
                    <xdr:col>2</xdr:col>
                    <xdr:colOff>600075</xdr:colOff>
                    <xdr:row>59</xdr:row>
                    <xdr:rowOff>180975</xdr:rowOff>
                  </from>
                  <to>
                    <xdr:col>3</xdr:col>
                    <xdr:colOff>123825</xdr:colOff>
                    <xdr:row>61</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ltText="">
                <anchor moveWithCells="1">
                  <from>
                    <xdr:col>2</xdr:col>
                    <xdr:colOff>609600</xdr:colOff>
                    <xdr:row>60</xdr:row>
                    <xdr:rowOff>180975</xdr:rowOff>
                  </from>
                  <to>
                    <xdr:col>3</xdr:col>
                    <xdr:colOff>133350</xdr:colOff>
                    <xdr:row>62</xdr:row>
                    <xdr:rowOff>19050</xdr:rowOff>
                  </to>
                </anchor>
              </controlPr>
            </control>
          </mc:Choice>
        </mc:AlternateContent>
        <mc:AlternateContent xmlns:mc="http://schemas.openxmlformats.org/markup-compatibility/2006">
          <mc:Choice Requires="x14">
            <control shapeId="7192" r:id="rId27" name="Check Box 24">
              <controlPr defaultSize="0" autoFill="0" autoLine="0" autoPict="0" altText="">
                <anchor moveWithCells="1">
                  <from>
                    <xdr:col>2</xdr:col>
                    <xdr:colOff>609600</xdr:colOff>
                    <xdr:row>61</xdr:row>
                    <xdr:rowOff>180975</xdr:rowOff>
                  </from>
                  <to>
                    <xdr:col>3</xdr:col>
                    <xdr:colOff>133350</xdr:colOff>
                    <xdr:row>63</xdr:row>
                    <xdr:rowOff>19050</xdr:rowOff>
                  </to>
                </anchor>
              </controlPr>
            </control>
          </mc:Choice>
        </mc:AlternateContent>
        <mc:AlternateContent xmlns:mc="http://schemas.openxmlformats.org/markup-compatibility/2006">
          <mc:Choice Requires="x14">
            <control shapeId="7193" r:id="rId28" name="Check Box 25">
              <controlPr defaultSize="0" autoFill="0" autoLine="0" autoPict="0" altText="">
                <anchor moveWithCells="1">
                  <from>
                    <xdr:col>2</xdr:col>
                    <xdr:colOff>609600</xdr:colOff>
                    <xdr:row>62</xdr:row>
                    <xdr:rowOff>180975</xdr:rowOff>
                  </from>
                  <to>
                    <xdr:col>3</xdr:col>
                    <xdr:colOff>133350</xdr:colOff>
                    <xdr:row>64</xdr:row>
                    <xdr:rowOff>19050</xdr:rowOff>
                  </to>
                </anchor>
              </controlPr>
            </control>
          </mc:Choice>
        </mc:AlternateContent>
        <mc:AlternateContent xmlns:mc="http://schemas.openxmlformats.org/markup-compatibility/2006">
          <mc:Choice Requires="x14">
            <control shapeId="7194" r:id="rId29" name="Check Box 26">
              <controlPr defaultSize="0" autoFill="0" autoLine="0" autoPict="0" altText="">
                <anchor moveWithCells="1">
                  <from>
                    <xdr:col>2</xdr:col>
                    <xdr:colOff>619125</xdr:colOff>
                    <xdr:row>63</xdr:row>
                    <xdr:rowOff>180975</xdr:rowOff>
                  </from>
                  <to>
                    <xdr:col>3</xdr:col>
                    <xdr:colOff>142875</xdr:colOff>
                    <xdr:row>65</xdr:row>
                    <xdr:rowOff>19050</xdr:rowOff>
                  </to>
                </anchor>
              </controlPr>
            </control>
          </mc:Choice>
        </mc:AlternateContent>
        <mc:AlternateContent xmlns:mc="http://schemas.openxmlformats.org/markup-compatibility/2006">
          <mc:Choice Requires="x14">
            <control shapeId="7195" r:id="rId30" name="Check Box 27">
              <controlPr defaultSize="0" autoFill="0" autoLine="0" autoPict="0" altText="">
                <anchor moveWithCells="1">
                  <from>
                    <xdr:col>2</xdr:col>
                    <xdr:colOff>561975</xdr:colOff>
                    <xdr:row>67</xdr:row>
                    <xdr:rowOff>180975</xdr:rowOff>
                  </from>
                  <to>
                    <xdr:col>3</xdr:col>
                    <xdr:colOff>85725</xdr:colOff>
                    <xdr:row>67</xdr:row>
                    <xdr:rowOff>400050</xdr:rowOff>
                  </to>
                </anchor>
              </controlPr>
            </control>
          </mc:Choice>
        </mc:AlternateContent>
        <mc:AlternateContent xmlns:mc="http://schemas.openxmlformats.org/markup-compatibility/2006">
          <mc:Choice Requires="x14">
            <control shapeId="7196" r:id="rId31" name="Check Box 28">
              <controlPr defaultSize="0" autoFill="0" autoLine="0" autoPict="0" altText="">
                <anchor moveWithCells="1">
                  <from>
                    <xdr:col>2</xdr:col>
                    <xdr:colOff>571500</xdr:colOff>
                    <xdr:row>68</xdr:row>
                    <xdr:rowOff>57150</xdr:rowOff>
                  </from>
                  <to>
                    <xdr:col>3</xdr:col>
                    <xdr:colOff>95250</xdr:colOff>
                    <xdr:row>68</xdr:row>
                    <xdr:rowOff>276225</xdr:rowOff>
                  </to>
                </anchor>
              </controlPr>
            </control>
          </mc:Choice>
        </mc:AlternateContent>
        <mc:AlternateContent xmlns:mc="http://schemas.openxmlformats.org/markup-compatibility/2006">
          <mc:Choice Requires="x14">
            <control shapeId="7197" r:id="rId32" name="Check Box 29">
              <controlPr defaultSize="0" autoFill="0" autoLine="0" autoPict="0" altText="">
                <anchor moveWithCells="1">
                  <from>
                    <xdr:col>2</xdr:col>
                    <xdr:colOff>571500</xdr:colOff>
                    <xdr:row>69</xdr:row>
                    <xdr:rowOff>66675</xdr:rowOff>
                  </from>
                  <to>
                    <xdr:col>3</xdr:col>
                    <xdr:colOff>95250</xdr:colOff>
                    <xdr:row>69</xdr:row>
                    <xdr:rowOff>285750</xdr:rowOff>
                  </to>
                </anchor>
              </controlPr>
            </control>
          </mc:Choice>
        </mc:AlternateContent>
        <mc:AlternateContent xmlns:mc="http://schemas.openxmlformats.org/markup-compatibility/2006">
          <mc:Choice Requires="x14">
            <control shapeId="7198" r:id="rId33" name="Check Box 30">
              <controlPr defaultSize="0" autoFill="0" autoLine="0" autoPict="0" altText="">
                <anchor moveWithCells="1">
                  <from>
                    <xdr:col>2</xdr:col>
                    <xdr:colOff>571500</xdr:colOff>
                    <xdr:row>71</xdr:row>
                    <xdr:rowOff>333375</xdr:rowOff>
                  </from>
                  <to>
                    <xdr:col>3</xdr:col>
                    <xdr:colOff>95250</xdr:colOff>
                    <xdr:row>71</xdr:row>
                    <xdr:rowOff>552450</xdr:rowOff>
                  </to>
                </anchor>
              </controlPr>
            </control>
          </mc:Choice>
        </mc:AlternateContent>
        <mc:AlternateContent xmlns:mc="http://schemas.openxmlformats.org/markup-compatibility/2006">
          <mc:Choice Requires="x14">
            <control shapeId="7199" r:id="rId34" name="Check Box 31">
              <controlPr defaultSize="0" autoFill="0" autoLine="0" autoPict="0" altText="">
                <anchor moveWithCells="1">
                  <from>
                    <xdr:col>2</xdr:col>
                    <xdr:colOff>571500</xdr:colOff>
                    <xdr:row>73</xdr:row>
                    <xdr:rowOff>66675</xdr:rowOff>
                  </from>
                  <to>
                    <xdr:col>3</xdr:col>
                    <xdr:colOff>95250</xdr:colOff>
                    <xdr:row>73</xdr:row>
                    <xdr:rowOff>285750</xdr:rowOff>
                  </to>
                </anchor>
              </controlPr>
            </control>
          </mc:Choice>
        </mc:AlternateContent>
        <mc:AlternateContent xmlns:mc="http://schemas.openxmlformats.org/markup-compatibility/2006">
          <mc:Choice Requires="x14">
            <control shapeId="7200" r:id="rId35" name="Check Box 32">
              <controlPr defaultSize="0" autoFill="0" autoLine="0" autoPict="0" altText="">
                <anchor moveWithCells="1">
                  <from>
                    <xdr:col>2</xdr:col>
                    <xdr:colOff>523875</xdr:colOff>
                    <xdr:row>76</xdr:row>
                    <xdr:rowOff>180975</xdr:rowOff>
                  </from>
                  <to>
                    <xdr:col>3</xdr:col>
                    <xdr:colOff>47625</xdr:colOff>
                    <xdr:row>78</xdr:row>
                    <xdr:rowOff>19050</xdr:rowOff>
                  </to>
                </anchor>
              </controlPr>
            </control>
          </mc:Choice>
        </mc:AlternateContent>
        <mc:AlternateContent xmlns:mc="http://schemas.openxmlformats.org/markup-compatibility/2006">
          <mc:Choice Requires="x14">
            <control shapeId="7201" r:id="rId36" name="Check Box 33">
              <controlPr defaultSize="0" autoFill="0" autoLine="0" autoPict="0" altText="">
                <anchor moveWithCells="1">
                  <from>
                    <xdr:col>2</xdr:col>
                    <xdr:colOff>533400</xdr:colOff>
                    <xdr:row>77</xdr:row>
                    <xdr:rowOff>180975</xdr:rowOff>
                  </from>
                  <to>
                    <xdr:col>3</xdr:col>
                    <xdr:colOff>57150</xdr:colOff>
                    <xdr:row>79</xdr:row>
                    <xdr:rowOff>19050</xdr:rowOff>
                  </to>
                </anchor>
              </controlPr>
            </control>
          </mc:Choice>
        </mc:AlternateContent>
        <mc:AlternateContent xmlns:mc="http://schemas.openxmlformats.org/markup-compatibility/2006">
          <mc:Choice Requires="x14">
            <control shapeId="7202" r:id="rId37" name="Check Box 34">
              <controlPr defaultSize="0" autoFill="0" autoLine="0" autoPict="0" altText="">
                <anchor moveWithCells="1">
                  <from>
                    <xdr:col>2</xdr:col>
                    <xdr:colOff>542925</xdr:colOff>
                    <xdr:row>78</xdr:row>
                    <xdr:rowOff>161925</xdr:rowOff>
                  </from>
                  <to>
                    <xdr:col>3</xdr:col>
                    <xdr:colOff>66675</xdr:colOff>
                    <xdr:row>80</xdr:row>
                    <xdr:rowOff>0</xdr:rowOff>
                  </to>
                </anchor>
              </controlPr>
            </control>
          </mc:Choice>
        </mc:AlternateContent>
        <mc:AlternateContent xmlns:mc="http://schemas.openxmlformats.org/markup-compatibility/2006">
          <mc:Choice Requires="x14">
            <control shapeId="7203" r:id="rId38" name="Check Box 35">
              <controlPr defaultSize="0" autoFill="0" autoLine="0" autoPict="0" altText="">
                <anchor moveWithCells="1">
                  <from>
                    <xdr:col>2</xdr:col>
                    <xdr:colOff>542925</xdr:colOff>
                    <xdr:row>79</xdr:row>
                    <xdr:rowOff>171450</xdr:rowOff>
                  </from>
                  <to>
                    <xdr:col>3</xdr:col>
                    <xdr:colOff>66675</xdr:colOff>
                    <xdr:row>81</xdr:row>
                    <xdr:rowOff>9525</xdr:rowOff>
                  </to>
                </anchor>
              </controlPr>
            </control>
          </mc:Choice>
        </mc:AlternateContent>
        <mc:AlternateContent xmlns:mc="http://schemas.openxmlformats.org/markup-compatibility/2006">
          <mc:Choice Requires="x14">
            <control shapeId="7204" r:id="rId39" name="Check Box 36">
              <controlPr defaultSize="0" autoFill="0" autoLine="0" autoPict="0" altText="">
                <anchor moveWithCells="1">
                  <from>
                    <xdr:col>2</xdr:col>
                    <xdr:colOff>561975</xdr:colOff>
                    <xdr:row>80</xdr:row>
                    <xdr:rowOff>171450</xdr:rowOff>
                  </from>
                  <to>
                    <xdr:col>3</xdr:col>
                    <xdr:colOff>85725</xdr:colOff>
                    <xdr:row>82</xdr:row>
                    <xdr:rowOff>9525</xdr:rowOff>
                  </to>
                </anchor>
              </controlPr>
            </control>
          </mc:Choice>
        </mc:AlternateContent>
        <mc:AlternateContent xmlns:mc="http://schemas.openxmlformats.org/markup-compatibility/2006">
          <mc:Choice Requires="x14">
            <control shapeId="7214" r:id="rId40" name="Check Box 46">
              <controlPr defaultSize="0" autoFill="0" autoLine="0" autoPict="0" altText="">
                <anchor moveWithCells="1">
                  <from>
                    <xdr:col>2</xdr:col>
                    <xdr:colOff>1276350</xdr:colOff>
                    <xdr:row>2</xdr:row>
                    <xdr:rowOff>161925</xdr:rowOff>
                  </from>
                  <to>
                    <xdr:col>3</xdr:col>
                    <xdr:colOff>800100</xdr:colOff>
                    <xdr:row>4</xdr:row>
                    <xdr:rowOff>0</xdr:rowOff>
                  </to>
                </anchor>
              </controlPr>
            </control>
          </mc:Choice>
        </mc:AlternateContent>
        <mc:AlternateContent xmlns:mc="http://schemas.openxmlformats.org/markup-compatibility/2006">
          <mc:Choice Requires="x14">
            <control shapeId="7215" r:id="rId41" name="Check Box 47">
              <controlPr defaultSize="0" autoFill="0" autoLine="0" autoPict="0" altText="">
                <anchor moveWithCells="1">
                  <from>
                    <xdr:col>2</xdr:col>
                    <xdr:colOff>1276350</xdr:colOff>
                    <xdr:row>3</xdr:row>
                    <xdr:rowOff>171450</xdr:rowOff>
                  </from>
                  <to>
                    <xdr:col>3</xdr:col>
                    <xdr:colOff>790575</xdr:colOff>
                    <xdr:row>5</xdr:row>
                    <xdr:rowOff>9525</xdr:rowOff>
                  </to>
                </anchor>
              </controlPr>
            </control>
          </mc:Choice>
        </mc:AlternateContent>
        <mc:AlternateContent xmlns:mc="http://schemas.openxmlformats.org/markup-compatibility/2006">
          <mc:Choice Requires="x14">
            <control shapeId="7216" r:id="rId42" name="Check Box 48">
              <controlPr defaultSize="0" autoFill="0" autoLine="0" autoPict="0" altText="">
                <anchor moveWithCells="1">
                  <from>
                    <xdr:col>2</xdr:col>
                    <xdr:colOff>1276350</xdr:colOff>
                    <xdr:row>4</xdr:row>
                    <xdr:rowOff>171450</xdr:rowOff>
                  </from>
                  <to>
                    <xdr:col>3</xdr:col>
                    <xdr:colOff>781050</xdr:colOff>
                    <xdr:row>6</xdr:row>
                    <xdr:rowOff>9525</xdr:rowOff>
                  </to>
                </anchor>
              </controlPr>
            </control>
          </mc:Choice>
        </mc:AlternateContent>
        <mc:AlternateContent xmlns:mc="http://schemas.openxmlformats.org/markup-compatibility/2006">
          <mc:Choice Requires="x14">
            <control shapeId="7217" r:id="rId43" name="List Box 49">
              <controlPr defaultSize="0" autoLine="0" autoPict="0">
                <anchor moveWithCells="1">
                  <from>
                    <xdr:col>1</xdr:col>
                    <xdr:colOff>19050</xdr:colOff>
                    <xdr:row>87</xdr:row>
                    <xdr:rowOff>104775</xdr:rowOff>
                  </from>
                  <to>
                    <xdr:col>1</xdr:col>
                    <xdr:colOff>3752850</xdr:colOff>
                    <xdr:row>87</xdr:row>
                    <xdr:rowOff>885825</xdr:rowOff>
                  </to>
                </anchor>
              </controlPr>
            </control>
          </mc:Choice>
        </mc:AlternateContent>
        <mc:AlternateContent xmlns:mc="http://schemas.openxmlformats.org/markup-compatibility/2006">
          <mc:Choice Requires="x14">
            <control shapeId="7218" r:id="rId44" name="List Box 50">
              <controlPr defaultSize="0" autoLine="0" autoPict="0">
                <anchor moveWithCells="1">
                  <from>
                    <xdr:col>1</xdr:col>
                    <xdr:colOff>19050</xdr:colOff>
                    <xdr:row>89</xdr:row>
                    <xdr:rowOff>104775</xdr:rowOff>
                  </from>
                  <to>
                    <xdr:col>1</xdr:col>
                    <xdr:colOff>3752850</xdr:colOff>
                    <xdr:row>89</xdr:row>
                    <xdr:rowOff>885825</xdr:rowOff>
                  </to>
                </anchor>
              </controlPr>
            </control>
          </mc:Choice>
        </mc:AlternateContent>
        <mc:AlternateContent xmlns:mc="http://schemas.openxmlformats.org/markup-compatibility/2006">
          <mc:Choice Requires="x14">
            <control shapeId="7219" r:id="rId45" name="List Box 51">
              <controlPr defaultSize="0" autoLine="0" autoPict="0">
                <anchor moveWithCells="1">
                  <from>
                    <xdr:col>1</xdr:col>
                    <xdr:colOff>19050</xdr:colOff>
                    <xdr:row>91</xdr:row>
                    <xdr:rowOff>104775</xdr:rowOff>
                  </from>
                  <to>
                    <xdr:col>1</xdr:col>
                    <xdr:colOff>3752850</xdr:colOff>
                    <xdr:row>91</xdr:row>
                    <xdr:rowOff>885825</xdr:rowOff>
                  </to>
                </anchor>
              </controlPr>
            </control>
          </mc:Choice>
        </mc:AlternateContent>
        <mc:AlternateContent xmlns:mc="http://schemas.openxmlformats.org/markup-compatibility/2006">
          <mc:Choice Requires="x14">
            <control shapeId="7220" r:id="rId46" name="List Box 52">
              <controlPr defaultSize="0" autoLine="0" autoPict="0">
                <anchor moveWithCells="1">
                  <from>
                    <xdr:col>1</xdr:col>
                    <xdr:colOff>19050</xdr:colOff>
                    <xdr:row>93</xdr:row>
                    <xdr:rowOff>104775</xdr:rowOff>
                  </from>
                  <to>
                    <xdr:col>1</xdr:col>
                    <xdr:colOff>3752850</xdr:colOff>
                    <xdr:row>93</xdr:row>
                    <xdr:rowOff>885825</xdr:rowOff>
                  </to>
                </anchor>
              </controlPr>
            </control>
          </mc:Choice>
        </mc:AlternateContent>
        <mc:AlternateContent xmlns:mc="http://schemas.openxmlformats.org/markup-compatibility/2006">
          <mc:Choice Requires="x14">
            <control shapeId="7221" r:id="rId47" name="List Box 53">
              <controlPr defaultSize="0" autoLine="0" autoPict="0">
                <anchor moveWithCells="1">
                  <from>
                    <xdr:col>1</xdr:col>
                    <xdr:colOff>38100</xdr:colOff>
                    <xdr:row>96</xdr:row>
                    <xdr:rowOff>180975</xdr:rowOff>
                  </from>
                  <to>
                    <xdr:col>1</xdr:col>
                    <xdr:colOff>3771900</xdr:colOff>
                    <xdr:row>96</xdr:row>
                    <xdr:rowOff>866775</xdr:rowOff>
                  </to>
                </anchor>
              </controlPr>
            </control>
          </mc:Choice>
        </mc:AlternateContent>
        <mc:AlternateContent xmlns:mc="http://schemas.openxmlformats.org/markup-compatibility/2006">
          <mc:Choice Requires="x14">
            <control shapeId="7222" r:id="rId48" name="List Box 54">
              <controlPr defaultSize="0" autoLine="0" autoPict="0">
                <anchor moveWithCells="1">
                  <from>
                    <xdr:col>1</xdr:col>
                    <xdr:colOff>38100</xdr:colOff>
                    <xdr:row>98</xdr:row>
                    <xdr:rowOff>47625</xdr:rowOff>
                  </from>
                  <to>
                    <xdr:col>1</xdr:col>
                    <xdr:colOff>3771900</xdr:colOff>
                    <xdr:row>98</xdr:row>
                    <xdr:rowOff>733425</xdr:rowOff>
                  </to>
                </anchor>
              </controlPr>
            </control>
          </mc:Choice>
        </mc:AlternateContent>
        <mc:AlternateContent xmlns:mc="http://schemas.openxmlformats.org/markup-compatibility/2006">
          <mc:Choice Requires="x14">
            <control shapeId="7223" r:id="rId49" name="List Box 55">
              <controlPr defaultSize="0" autoLine="0" autoPict="0">
                <anchor moveWithCells="1">
                  <from>
                    <xdr:col>1</xdr:col>
                    <xdr:colOff>95250</xdr:colOff>
                    <xdr:row>100</xdr:row>
                    <xdr:rowOff>57150</xdr:rowOff>
                  </from>
                  <to>
                    <xdr:col>1</xdr:col>
                    <xdr:colOff>3829050</xdr:colOff>
                    <xdr:row>100</xdr:row>
                    <xdr:rowOff>742950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Q84"/>
  <sheetViews>
    <sheetView view="pageBreakPreview" zoomScaleNormal="70" zoomScaleSheetLayoutView="100" workbookViewId="0">
      <pane ySplit="1" topLeftCell="A2" activePane="bottomLeft" state="frozen"/>
      <selection pane="bottomLeft" activeCell="D6" sqref="D6:D8"/>
    </sheetView>
  </sheetViews>
  <sheetFormatPr defaultRowHeight="15" x14ac:dyDescent="0.25"/>
  <cols>
    <col min="1" max="1" width="9.140625" style="1"/>
    <col min="2" max="2" width="71" style="1" customWidth="1"/>
    <col min="3" max="3" width="23.42578125" style="1" customWidth="1"/>
    <col min="4" max="4" width="15.42578125" style="1" customWidth="1"/>
    <col min="5" max="5" width="16.42578125" style="1" customWidth="1"/>
    <col min="6" max="6" width="31.7109375" style="1" customWidth="1"/>
    <col min="7" max="10" width="9.140625" hidden="1" customWidth="1"/>
    <col min="11" max="16" width="9.140625" style="191" hidden="1" customWidth="1"/>
    <col min="17" max="17" width="9.140625" hidden="1" customWidth="1"/>
    <col min="18" max="20" width="9.140625" customWidth="1"/>
  </cols>
  <sheetData>
    <row r="1" spans="1:14" x14ac:dyDescent="0.25">
      <c r="A1" s="137" t="s">
        <v>72</v>
      </c>
      <c r="B1" s="137"/>
      <c r="C1" s="151" t="s">
        <v>2</v>
      </c>
      <c r="D1" s="151">
        <f>IF(SUM(E:E)&lt;=20,SUM(E:E),20)</f>
        <v>2</v>
      </c>
    </row>
    <row r="3" spans="1:14" x14ac:dyDescent="0.25">
      <c r="C3" s="65"/>
      <c r="D3" s="152"/>
      <c r="E3" s="152"/>
    </row>
    <row r="4" spans="1:14" ht="28.5" x14ac:dyDescent="0.25">
      <c r="A4" s="153">
        <v>5.0999999999999996</v>
      </c>
      <c r="B4" s="41" t="s">
        <v>272</v>
      </c>
      <c r="C4" s="154" t="s">
        <v>79</v>
      </c>
      <c r="D4" s="155" t="s">
        <v>102</v>
      </c>
      <c r="E4" s="155" t="s">
        <v>2</v>
      </c>
      <c r="F4" s="107" t="s">
        <v>326</v>
      </c>
    </row>
    <row r="5" spans="1:14" ht="43.5" x14ac:dyDescent="0.25">
      <c r="A5" s="156"/>
      <c r="B5" s="157" t="s">
        <v>273</v>
      </c>
      <c r="C5" s="158"/>
      <c r="D5" s="159">
        <v>1</v>
      </c>
      <c r="E5" s="160">
        <f>N5</f>
        <v>0</v>
      </c>
      <c r="F5" s="233"/>
      <c r="H5" s="13"/>
      <c r="M5" s="191" t="b">
        <v>0</v>
      </c>
      <c r="N5" s="191">
        <f>IF(M5=TRUE,1,0)</f>
        <v>0</v>
      </c>
    </row>
    <row r="6" spans="1:14" x14ac:dyDescent="0.25">
      <c r="A6" s="153">
        <v>5.2</v>
      </c>
      <c r="B6" s="41" t="s">
        <v>274</v>
      </c>
      <c r="C6" s="21"/>
      <c r="D6" s="247">
        <v>1</v>
      </c>
      <c r="E6" s="248">
        <f>M7</f>
        <v>0</v>
      </c>
      <c r="F6" s="268"/>
    </row>
    <row r="7" spans="1:14" ht="29.25" x14ac:dyDescent="0.25">
      <c r="A7" s="26"/>
      <c r="B7" s="34" t="s">
        <v>275</v>
      </c>
      <c r="C7" s="20"/>
      <c r="D7" s="243"/>
      <c r="E7" s="245"/>
      <c r="F7" s="268"/>
      <c r="M7" s="191">
        <f>IF(C8=0,0,IF(C8&lt;40,1,0))</f>
        <v>0</v>
      </c>
    </row>
    <row r="8" spans="1:14" ht="17.25" x14ac:dyDescent="0.25">
      <c r="A8" s="30"/>
      <c r="B8" s="31" t="s">
        <v>333</v>
      </c>
      <c r="C8" s="131">
        <f>'Section 2'!C12</f>
        <v>0</v>
      </c>
      <c r="D8" s="244"/>
      <c r="E8" s="246"/>
      <c r="F8" s="268"/>
    </row>
    <row r="9" spans="1:14" x14ac:dyDescent="0.25">
      <c r="A9" s="153">
        <v>5.3</v>
      </c>
      <c r="B9" s="41" t="s">
        <v>276</v>
      </c>
      <c r="C9" s="21"/>
      <c r="D9" s="247">
        <v>2</v>
      </c>
      <c r="E9" s="248">
        <f>N10</f>
        <v>0</v>
      </c>
      <c r="F9" s="268"/>
    </row>
    <row r="10" spans="1:14" ht="43.5" x14ac:dyDescent="0.25">
      <c r="A10" s="26"/>
      <c r="B10" s="34" t="s">
        <v>277</v>
      </c>
      <c r="C10" s="20"/>
      <c r="D10" s="243"/>
      <c r="E10" s="245"/>
      <c r="F10" s="268"/>
      <c r="N10" s="191">
        <f>MIN(IF(C11*0.14&lt;=4,0,C11*0.14-4),2)</f>
        <v>0</v>
      </c>
    </row>
    <row r="11" spans="1:14" x14ac:dyDescent="0.25">
      <c r="A11" s="30"/>
      <c r="B11" s="31" t="s">
        <v>343</v>
      </c>
      <c r="C11" s="218">
        <f>'Section 2'!C28</f>
        <v>0</v>
      </c>
      <c r="D11" s="244"/>
      <c r="E11" s="246"/>
      <c r="F11" s="268"/>
    </row>
    <row r="12" spans="1:14" x14ac:dyDescent="0.25">
      <c r="A12" s="153">
        <v>5.4</v>
      </c>
      <c r="B12" s="41" t="s">
        <v>44</v>
      </c>
      <c r="C12" s="21"/>
      <c r="D12" s="21"/>
      <c r="E12" s="60"/>
      <c r="F12" s="268"/>
    </row>
    <row r="13" spans="1:14" ht="29.25" x14ac:dyDescent="0.25">
      <c r="A13" s="26"/>
      <c r="B13" s="34" t="s">
        <v>280</v>
      </c>
      <c r="C13" s="20"/>
      <c r="D13" s="66">
        <v>6</v>
      </c>
      <c r="E13" s="67">
        <f>N13</f>
        <v>0</v>
      </c>
      <c r="F13" s="268"/>
      <c r="M13" s="191">
        <f>IF('Section 2'!M80&gt;4,'Section 2'!M80-4,0)</f>
        <v>0</v>
      </c>
      <c r="N13" s="191">
        <f>IF(M13&gt;0, IF(M13&lt;=6,M13,IF(M13&gt;6,6,0)),0)</f>
        <v>0</v>
      </c>
    </row>
    <row r="14" spans="1:14" x14ac:dyDescent="0.25">
      <c r="A14" s="26"/>
      <c r="B14" s="40" t="s">
        <v>403</v>
      </c>
      <c r="C14" s="131">
        <f>'Section 2'!C81</f>
        <v>0</v>
      </c>
      <c r="D14" s="211"/>
      <c r="E14" s="212"/>
      <c r="F14" s="268"/>
    </row>
    <row r="15" spans="1:14" ht="51" customHeight="1" x14ac:dyDescent="0.25">
      <c r="A15" s="26"/>
      <c r="B15" s="34" t="s">
        <v>278</v>
      </c>
      <c r="C15" s="20"/>
      <c r="D15" s="66">
        <v>1</v>
      </c>
      <c r="E15" s="67">
        <f>N15</f>
        <v>0</v>
      </c>
      <c r="F15" s="268"/>
      <c r="M15" s="191" t="b">
        <v>0</v>
      </c>
      <c r="N15" s="191">
        <f>IF(M15=TRUE,1,0)</f>
        <v>0</v>
      </c>
    </row>
    <row r="16" spans="1:14" x14ac:dyDescent="0.25">
      <c r="A16" s="30"/>
      <c r="B16" s="36" t="s">
        <v>279</v>
      </c>
      <c r="C16" s="36"/>
      <c r="D16" s="68">
        <v>1.5</v>
      </c>
      <c r="E16" s="69">
        <f>N16</f>
        <v>0</v>
      </c>
      <c r="F16" s="268"/>
      <c r="M16" s="191" t="b">
        <v>0</v>
      </c>
      <c r="N16" s="191">
        <f>IF(M16=TRUE,1.5,0)</f>
        <v>0</v>
      </c>
    </row>
    <row r="17" spans="1:17" x14ac:dyDescent="0.25">
      <c r="A17" s="153">
        <v>5.5</v>
      </c>
      <c r="B17" s="41" t="s">
        <v>281</v>
      </c>
      <c r="C17" s="21"/>
      <c r="D17" s="21"/>
      <c r="E17" s="60"/>
      <c r="F17" s="268"/>
    </row>
    <row r="18" spans="1:17" ht="43.5" x14ac:dyDescent="0.25">
      <c r="A18" s="26"/>
      <c r="B18" s="34" t="s">
        <v>282</v>
      </c>
      <c r="C18" s="20"/>
      <c r="D18" s="243">
        <v>2</v>
      </c>
      <c r="E18" s="245">
        <f>N19</f>
        <v>0</v>
      </c>
      <c r="F18" s="268"/>
    </row>
    <row r="19" spans="1:17" ht="43.5" x14ac:dyDescent="0.25">
      <c r="A19" s="26"/>
      <c r="B19" s="40" t="s">
        <v>283</v>
      </c>
      <c r="C19" s="243"/>
      <c r="D19" s="243"/>
      <c r="E19" s="245"/>
      <c r="F19" s="268"/>
      <c r="M19" s="191" t="b">
        <v>0</v>
      </c>
      <c r="N19" s="191">
        <f>IF(M19=TRUE,2,0)</f>
        <v>0</v>
      </c>
    </row>
    <row r="20" spans="1:17" ht="17.25" x14ac:dyDescent="0.25">
      <c r="A20" s="30"/>
      <c r="B20" s="31" t="s">
        <v>383</v>
      </c>
      <c r="C20" s="244"/>
      <c r="D20" s="244"/>
      <c r="E20" s="246"/>
      <c r="F20" s="268"/>
    </row>
    <row r="21" spans="1:17" x14ac:dyDescent="0.25">
      <c r="A21" s="153">
        <v>5.6</v>
      </c>
      <c r="B21" s="41" t="s">
        <v>284</v>
      </c>
      <c r="C21" s="21"/>
      <c r="D21" s="21"/>
      <c r="E21" s="60"/>
      <c r="F21" s="268"/>
    </row>
    <row r="22" spans="1:17" ht="66" customHeight="1" x14ac:dyDescent="0.25">
      <c r="A22" s="30"/>
      <c r="B22" s="37" t="s">
        <v>384</v>
      </c>
      <c r="C22" s="36"/>
      <c r="D22" s="68">
        <v>2</v>
      </c>
      <c r="E22" s="69">
        <f>N22</f>
        <v>0</v>
      </c>
      <c r="F22" s="268"/>
      <c r="M22" s="191" t="b">
        <v>0</v>
      </c>
      <c r="N22" s="191">
        <f t="shared" ref="N22" si="0">IF(M22=TRUE,2,0)</f>
        <v>0</v>
      </c>
    </row>
    <row r="23" spans="1:17" x14ac:dyDescent="0.25">
      <c r="A23" s="153">
        <v>5.7</v>
      </c>
      <c r="B23" s="41" t="s">
        <v>285</v>
      </c>
      <c r="C23" s="21"/>
      <c r="D23" s="21"/>
      <c r="E23" s="60"/>
      <c r="F23" s="268"/>
    </row>
    <row r="24" spans="1:17" ht="43.5" x14ac:dyDescent="0.25">
      <c r="A24" s="26"/>
      <c r="B24" s="34" t="s">
        <v>287</v>
      </c>
      <c r="C24" s="20"/>
      <c r="D24" s="66">
        <v>2</v>
      </c>
      <c r="E24" s="67">
        <f>N25+N26</f>
        <v>0</v>
      </c>
      <c r="F24" s="268"/>
    </row>
    <row r="25" spans="1:17" x14ac:dyDescent="0.25">
      <c r="A25" s="26"/>
      <c r="B25" s="20" t="s">
        <v>288</v>
      </c>
      <c r="C25" s="20"/>
      <c r="D25" s="20"/>
      <c r="E25" s="62"/>
      <c r="F25" s="268"/>
      <c r="M25" s="191" t="b">
        <v>0</v>
      </c>
      <c r="N25" s="191">
        <f>IF(M25=TRUE,1,0)</f>
        <v>0</v>
      </c>
    </row>
    <row r="26" spans="1:17" x14ac:dyDescent="0.25">
      <c r="A26" s="30"/>
      <c r="B26" s="36" t="s">
        <v>289</v>
      </c>
      <c r="C26" s="36"/>
      <c r="D26" s="36"/>
      <c r="E26" s="59"/>
      <c r="F26" s="268"/>
      <c r="M26" s="191" t="b">
        <v>0</v>
      </c>
      <c r="N26" s="191">
        <f>IF(M26=TRUE,1,0)</f>
        <v>0</v>
      </c>
    </row>
    <row r="27" spans="1:17" x14ac:dyDescent="0.25">
      <c r="A27" s="153">
        <v>5.8</v>
      </c>
      <c r="B27" s="41" t="s">
        <v>286</v>
      </c>
      <c r="C27" s="21"/>
      <c r="D27" s="21"/>
      <c r="E27" s="60"/>
      <c r="F27" s="268"/>
    </row>
    <row r="28" spans="1:17" x14ac:dyDescent="0.25">
      <c r="A28" s="26"/>
      <c r="B28" s="20" t="s">
        <v>290</v>
      </c>
      <c r="C28" s="20"/>
      <c r="D28" s="243">
        <v>1</v>
      </c>
      <c r="E28" s="245">
        <f>M29</f>
        <v>0</v>
      </c>
      <c r="F28" s="268"/>
    </row>
    <row r="29" spans="1:17" ht="78" customHeight="1" x14ac:dyDescent="0.25">
      <c r="A29" s="26"/>
      <c r="B29" s="20"/>
      <c r="C29" s="20"/>
      <c r="D29" s="243"/>
      <c r="E29" s="245"/>
      <c r="F29" s="268"/>
      <c r="M29" s="191">
        <f>IF(C30=0,0,IF(C30="Leader",1,IF(C30="Excellent",0.75,IF(C30="Very Good",0.5,IF(C30="Good",0.25,0)))))</f>
        <v>0</v>
      </c>
    </row>
    <row r="30" spans="1:17" x14ac:dyDescent="0.25">
      <c r="A30" s="30"/>
      <c r="B30" s="31" t="s">
        <v>295</v>
      </c>
      <c r="C30" s="188"/>
      <c r="D30" s="244"/>
      <c r="E30" s="246"/>
      <c r="F30" s="268"/>
      <c r="P30" s="192" t="s">
        <v>291</v>
      </c>
      <c r="Q30">
        <f>IF(C30="Leader",1,0)</f>
        <v>0</v>
      </c>
    </row>
    <row r="31" spans="1:17" x14ac:dyDescent="0.25">
      <c r="A31" s="224">
        <v>5.9</v>
      </c>
      <c r="B31" s="41" t="s">
        <v>296</v>
      </c>
      <c r="C31" s="21"/>
      <c r="D31" s="21"/>
      <c r="E31" s="60"/>
      <c r="F31" s="268"/>
      <c r="P31" s="192" t="s">
        <v>292</v>
      </c>
    </row>
    <row r="32" spans="1:17" ht="43.5" x14ac:dyDescent="0.25">
      <c r="A32" s="26"/>
      <c r="B32" s="34" t="s">
        <v>297</v>
      </c>
      <c r="C32" s="20"/>
      <c r="D32" s="243">
        <v>4</v>
      </c>
      <c r="E32" s="245">
        <f>SUM(N33:N37)</f>
        <v>0</v>
      </c>
      <c r="F32" s="268"/>
      <c r="P32" s="192" t="s">
        <v>293</v>
      </c>
    </row>
    <row r="33" spans="1:16" x14ac:dyDescent="0.25">
      <c r="A33" s="26"/>
      <c r="B33" s="20" t="s">
        <v>298</v>
      </c>
      <c r="C33" s="20"/>
      <c r="D33" s="243"/>
      <c r="E33" s="245"/>
      <c r="F33" s="268"/>
      <c r="M33" s="191" t="b">
        <v>0</v>
      </c>
      <c r="N33" s="191">
        <f>IF(M33=TRUE,1,0)</f>
        <v>0</v>
      </c>
      <c r="P33" s="192" t="s">
        <v>294</v>
      </c>
    </row>
    <row r="34" spans="1:16" ht="12.75" customHeight="1" x14ac:dyDescent="0.25">
      <c r="A34" s="26"/>
      <c r="B34" s="161" t="s">
        <v>402</v>
      </c>
      <c r="C34" s="20"/>
      <c r="D34" s="243"/>
      <c r="E34" s="245"/>
      <c r="F34" s="268"/>
    </row>
    <row r="35" spans="1:16" x14ac:dyDescent="0.25">
      <c r="A35" s="26"/>
      <c r="B35" s="20" t="s">
        <v>299</v>
      </c>
      <c r="C35" s="20"/>
      <c r="D35" s="243"/>
      <c r="E35" s="245"/>
      <c r="F35" s="268"/>
      <c r="M35" s="191" t="b">
        <v>0</v>
      </c>
      <c r="N35" s="191">
        <f t="shared" ref="N35:N37" si="1">IF(M35=TRUE,1,0)</f>
        <v>0</v>
      </c>
    </row>
    <row r="36" spans="1:16" x14ac:dyDescent="0.25">
      <c r="A36" s="26"/>
      <c r="B36" s="20" t="s">
        <v>300</v>
      </c>
      <c r="C36" s="20"/>
      <c r="D36" s="243"/>
      <c r="E36" s="245"/>
      <c r="F36" s="268"/>
      <c r="M36" s="191" t="b">
        <v>0</v>
      </c>
      <c r="N36" s="191">
        <f t="shared" si="1"/>
        <v>0</v>
      </c>
    </row>
    <row r="37" spans="1:16" x14ac:dyDescent="0.25">
      <c r="A37" s="30"/>
      <c r="B37" s="36" t="s">
        <v>301</v>
      </c>
      <c r="C37" s="36"/>
      <c r="D37" s="244"/>
      <c r="E37" s="246"/>
      <c r="F37" s="268"/>
      <c r="M37" s="191" t="b">
        <v>0</v>
      </c>
      <c r="N37" s="191">
        <f t="shared" si="1"/>
        <v>0</v>
      </c>
    </row>
    <row r="38" spans="1:16" x14ac:dyDescent="0.25">
      <c r="A38" s="50">
        <v>5.0999999999999996</v>
      </c>
      <c r="B38" s="41" t="s">
        <v>302</v>
      </c>
      <c r="C38" s="21"/>
      <c r="D38" s="21"/>
      <c r="E38" s="60"/>
      <c r="F38" s="268"/>
    </row>
    <row r="39" spans="1:16" ht="29.25" x14ac:dyDescent="0.25">
      <c r="A39" s="26"/>
      <c r="B39" s="34" t="s">
        <v>303</v>
      </c>
      <c r="C39" s="20"/>
      <c r="D39" s="243">
        <v>1</v>
      </c>
      <c r="E39" s="245">
        <f>N39+N40</f>
        <v>0</v>
      </c>
      <c r="F39" s="268"/>
      <c r="M39" s="191" t="b">
        <v>0</v>
      </c>
      <c r="N39" s="191">
        <f>IF(M39=TRUE,0.5,0)</f>
        <v>0</v>
      </c>
    </row>
    <row r="40" spans="1:16" ht="29.25" x14ac:dyDescent="0.25">
      <c r="A40" s="30"/>
      <c r="B40" s="57" t="s">
        <v>304</v>
      </c>
      <c r="C40" s="36"/>
      <c r="D40" s="244"/>
      <c r="E40" s="246"/>
      <c r="F40" s="268"/>
      <c r="M40" s="191" t="b">
        <v>0</v>
      </c>
      <c r="N40" s="191">
        <f>IF(M40=TRUE,0.5,0)</f>
        <v>0</v>
      </c>
    </row>
    <row r="41" spans="1:16" x14ac:dyDescent="0.25">
      <c r="A41" s="50">
        <v>5.1100000000000003</v>
      </c>
      <c r="B41" s="41" t="s">
        <v>305</v>
      </c>
      <c r="C41" s="21"/>
      <c r="D41" s="21"/>
      <c r="E41" s="60"/>
      <c r="F41" s="268"/>
    </row>
    <row r="42" spans="1:16" x14ac:dyDescent="0.25">
      <c r="A42" s="26"/>
      <c r="B42" s="20" t="s">
        <v>306</v>
      </c>
      <c r="C42" s="20"/>
      <c r="D42" s="243">
        <v>3</v>
      </c>
      <c r="E42" s="245">
        <f>N43+N42</f>
        <v>0</v>
      </c>
      <c r="F42" s="268"/>
      <c r="M42" s="191" t="b">
        <v>0</v>
      </c>
      <c r="N42" s="191">
        <f>IF(M42=TRUE,1,0)</f>
        <v>0</v>
      </c>
    </row>
    <row r="43" spans="1:16" ht="153.75" customHeight="1" x14ac:dyDescent="0.25">
      <c r="A43" s="30"/>
      <c r="B43" s="37" t="s">
        <v>307</v>
      </c>
      <c r="C43" s="36"/>
      <c r="D43" s="244"/>
      <c r="E43" s="246"/>
      <c r="F43" s="268"/>
      <c r="M43" s="191" t="b">
        <v>0</v>
      </c>
      <c r="N43" s="191">
        <f>IF(M43=TRUE,2,0)</f>
        <v>0</v>
      </c>
    </row>
    <row r="44" spans="1:16" x14ac:dyDescent="0.25">
      <c r="A44" s="50">
        <v>5.12</v>
      </c>
      <c r="B44" s="41" t="s">
        <v>308</v>
      </c>
      <c r="C44" s="21"/>
      <c r="D44" s="21"/>
      <c r="E44" s="60"/>
      <c r="F44" s="268"/>
    </row>
    <row r="45" spans="1:16" ht="29.25" x14ac:dyDescent="0.25">
      <c r="A45" s="26"/>
      <c r="B45" s="34" t="s">
        <v>309</v>
      </c>
      <c r="C45" s="20"/>
      <c r="D45" s="243">
        <v>2</v>
      </c>
      <c r="E45" s="245">
        <f>MAX(N46:N48)</f>
        <v>0</v>
      </c>
      <c r="F45" s="268"/>
    </row>
    <row r="46" spans="1:16" x14ac:dyDescent="0.25">
      <c r="A46" s="26"/>
      <c r="B46" s="20" t="s">
        <v>310</v>
      </c>
      <c r="C46" s="20"/>
      <c r="D46" s="243"/>
      <c r="E46" s="245"/>
      <c r="F46" s="268"/>
      <c r="M46" s="191" t="b">
        <v>0</v>
      </c>
      <c r="N46" s="191">
        <f>IF(M46=TRUE,0.5,0)</f>
        <v>0</v>
      </c>
    </row>
    <row r="47" spans="1:16" x14ac:dyDescent="0.25">
      <c r="A47" s="26"/>
      <c r="B47" s="20" t="s">
        <v>311</v>
      </c>
      <c r="C47" s="20"/>
      <c r="D47" s="243"/>
      <c r="E47" s="245"/>
      <c r="F47" s="268"/>
      <c r="M47" s="191" t="b">
        <v>0</v>
      </c>
      <c r="N47" s="191">
        <f>IF(M47=TRUE,1,0)</f>
        <v>0</v>
      </c>
    </row>
    <row r="48" spans="1:16" x14ac:dyDescent="0.25">
      <c r="A48" s="30"/>
      <c r="B48" s="36" t="s">
        <v>312</v>
      </c>
      <c r="C48" s="36"/>
      <c r="D48" s="244"/>
      <c r="E48" s="246"/>
      <c r="F48" s="268"/>
      <c r="M48" s="191" t="b">
        <v>0</v>
      </c>
      <c r="N48" s="191">
        <f t="shared" ref="N48" si="2">IF(M48=TRUE,2,0)</f>
        <v>0</v>
      </c>
    </row>
    <row r="49" spans="1:16" x14ac:dyDescent="0.25">
      <c r="A49" s="50">
        <v>5.13</v>
      </c>
      <c r="B49" s="41" t="s">
        <v>313</v>
      </c>
      <c r="C49" s="21"/>
      <c r="D49" s="21"/>
      <c r="E49" s="60"/>
      <c r="F49" s="268"/>
    </row>
    <row r="50" spans="1:16" ht="29.25" x14ac:dyDescent="0.25">
      <c r="A50" s="26"/>
      <c r="B50" s="34" t="s">
        <v>314</v>
      </c>
      <c r="C50" s="20"/>
      <c r="D50" s="66">
        <v>1</v>
      </c>
      <c r="E50" s="67">
        <f>N50</f>
        <v>0</v>
      </c>
      <c r="F50" s="268"/>
      <c r="M50" s="191" t="b">
        <v>0</v>
      </c>
      <c r="N50" s="191">
        <f>IF(M50=TRUE,1,0)</f>
        <v>0</v>
      </c>
    </row>
    <row r="51" spans="1:16" x14ac:dyDescent="0.25">
      <c r="A51" s="50">
        <v>5.14</v>
      </c>
      <c r="B51" s="41" t="s">
        <v>313</v>
      </c>
      <c r="C51" s="21"/>
      <c r="D51" s="21"/>
      <c r="E51" s="60"/>
      <c r="F51" s="268"/>
    </row>
    <row r="52" spans="1:16" ht="42.75" x14ac:dyDescent="0.25">
      <c r="A52" s="26"/>
      <c r="B52" s="63" t="s">
        <v>317</v>
      </c>
      <c r="C52" s="20"/>
      <c r="D52" s="243">
        <v>3</v>
      </c>
      <c r="E52" s="245">
        <f>N53+N54+N55</f>
        <v>0</v>
      </c>
      <c r="F52" s="268"/>
    </row>
    <row r="53" spans="1:16" x14ac:dyDescent="0.25">
      <c r="A53" s="26"/>
      <c r="B53" s="29" t="s">
        <v>315</v>
      </c>
      <c r="C53" s="188"/>
      <c r="D53" s="243"/>
      <c r="E53" s="245"/>
      <c r="F53" s="268"/>
      <c r="M53" s="191">
        <f>IF(C53=0,0,IF(C53&gt;=1.45,1+0.02*(C53-1.45)/1.45*100,0))</f>
        <v>0</v>
      </c>
      <c r="N53" s="191">
        <f>IF(M53&lt;=2,M53,2)</f>
        <v>0</v>
      </c>
    </row>
    <row r="54" spans="1:16" ht="29.25" x14ac:dyDescent="0.25">
      <c r="A54" s="26"/>
      <c r="B54" s="34" t="s">
        <v>316</v>
      </c>
      <c r="C54" s="20"/>
      <c r="D54" s="243"/>
      <c r="E54" s="245"/>
      <c r="F54" s="268"/>
      <c r="M54" s="191" t="b">
        <v>0</v>
      </c>
      <c r="N54" s="191">
        <f>IF(M54=TRUE,0.5,0)</f>
        <v>0</v>
      </c>
    </row>
    <row r="55" spans="1:16" ht="29.25" x14ac:dyDescent="0.25">
      <c r="A55" s="30"/>
      <c r="B55" s="37" t="s">
        <v>318</v>
      </c>
      <c r="C55" s="36"/>
      <c r="D55" s="244"/>
      <c r="E55" s="246"/>
      <c r="F55" s="268"/>
      <c r="M55" s="191" t="b">
        <v>0</v>
      </c>
      <c r="N55" s="191">
        <f>IF(M55=TRUE,0.5,0)</f>
        <v>0</v>
      </c>
      <c r="P55" s="191" t="s">
        <v>415</v>
      </c>
    </row>
    <row r="56" spans="1:16" x14ac:dyDescent="0.25">
      <c r="A56" s="50">
        <v>5.15</v>
      </c>
      <c r="B56" s="41" t="s">
        <v>319</v>
      </c>
      <c r="C56" s="21"/>
      <c r="D56" s="21"/>
      <c r="E56" s="60"/>
      <c r="F56" s="268"/>
      <c r="P56" s="191" t="s">
        <v>417</v>
      </c>
    </row>
    <row r="57" spans="1:16" ht="40.5" customHeight="1" x14ac:dyDescent="0.25">
      <c r="A57" s="26"/>
      <c r="B57" s="220" t="s">
        <v>320</v>
      </c>
      <c r="C57" s="20"/>
      <c r="D57" s="228">
        <v>0.5</v>
      </c>
      <c r="E57" s="229">
        <f>N57</f>
        <v>0</v>
      </c>
      <c r="F57" s="282"/>
      <c r="M57" s="191" t="b">
        <v>0</v>
      </c>
      <c r="N57" s="191">
        <f t="shared" ref="N57" si="3">IF(M57=TRUE,0.5,0)</f>
        <v>0</v>
      </c>
      <c r="P57" s="191" t="s">
        <v>416</v>
      </c>
    </row>
    <row r="58" spans="1:16" ht="40.5" customHeight="1" x14ac:dyDescent="0.25">
      <c r="A58" s="50">
        <v>5.16</v>
      </c>
      <c r="B58" s="41" t="s">
        <v>449</v>
      </c>
      <c r="C58" s="21"/>
      <c r="D58" s="230"/>
      <c r="E58" s="231"/>
      <c r="F58" s="275"/>
    </row>
    <row r="59" spans="1:16" ht="63.75" customHeight="1" x14ac:dyDescent="0.25">
      <c r="A59" s="26"/>
      <c r="B59" s="63" t="s">
        <v>441</v>
      </c>
      <c r="C59" s="20"/>
      <c r="D59" s="228"/>
      <c r="E59" s="229"/>
      <c r="F59" s="276"/>
    </row>
    <row r="60" spans="1:16" ht="36" customHeight="1" x14ac:dyDescent="0.25">
      <c r="A60" s="26"/>
      <c r="B60" s="63" t="s">
        <v>442</v>
      </c>
      <c r="C60" s="20"/>
      <c r="D60" s="228">
        <v>0.5</v>
      </c>
      <c r="E60" s="229">
        <f>N60</f>
        <v>0</v>
      </c>
      <c r="F60" s="277"/>
      <c r="M60" s="191" t="b">
        <v>0</v>
      </c>
      <c r="N60" s="191">
        <f>IF(M60=TRUE,0.5,0)</f>
        <v>0</v>
      </c>
      <c r="P60" s="191" t="s">
        <v>415</v>
      </c>
    </row>
    <row r="61" spans="1:16" ht="85.5" x14ac:dyDescent="0.25">
      <c r="A61" s="26"/>
      <c r="B61" s="63" t="s">
        <v>443</v>
      </c>
      <c r="C61" s="20"/>
      <c r="D61" s="243">
        <v>2.5</v>
      </c>
      <c r="E61" s="280">
        <f>P71</f>
        <v>0</v>
      </c>
      <c r="F61" s="276"/>
      <c r="P61" s="191" t="s">
        <v>416</v>
      </c>
    </row>
    <row r="62" spans="1:16" ht="64.5" customHeight="1" x14ac:dyDescent="0.25">
      <c r="A62" s="26"/>
      <c r="B62" s="210" t="s">
        <v>444</v>
      </c>
      <c r="C62" s="278"/>
      <c r="D62" s="243"/>
      <c r="E62" s="280"/>
      <c r="F62" s="276"/>
      <c r="M62" s="191">
        <v>1</v>
      </c>
      <c r="N62" s="191">
        <f>IF(M62=1,0,IF(M62=2,0.5,IF(M62=3,1,0)))</f>
        <v>0</v>
      </c>
      <c r="O62" s="191">
        <f>IF(AND(C62&gt;0,N62&gt;0),N62,0)</f>
        <v>0</v>
      </c>
    </row>
    <row r="63" spans="1:16" x14ac:dyDescent="0.25">
      <c r="A63" s="26"/>
      <c r="B63" s="232" t="s">
        <v>445</v>
      </c>
      <c r="C63" s="278"/>
      <c r="D63" s="243"/>
      <c r="E63" s="280"/>
      <c r="F63" s="276"/>
    </row>
    <row r="64" spans="1:16" ht="57" customHeight="1" x14ac:dyDescent="0.25">
      <c r="A64" s="26"/>
      <c r="B64" s="210" t="s">
        <v>446</v>
      </c>
      <c r="C64" s="278"/>
      <c r="D64" s="243"/>
      <c r="E64" s="280"/>
      <c r="F64" s="276"/>
      <c r="M64" s="191">
        <v>1</v>
      </c>
      <c r="N64" s="191">
        <f>IF(M64=1,0,IF(M64=2,0.5,IF(M64=3,1,0)))</f>
        <v>0</v>
      </c>
      <c r="O64" s="191">
        <f>IF(AND(C64&gt;0,N64&gt;0),N64,0)</f>
        <v>0</v>
      </c>
    </row>
    <row r="65" spans="1:16" x14ac:dyDescent="0.25">
      <c r="A65" s="26"/>
      <c r="B65" s="232" t="s">
        <v>445</v>
      </c>
      <c r="C65" s="278"/>
      <c r="D65" s="243"/>
      <c r="E65" s="280"/>
      <c r="F65" s="276"/>
    </row>
    <row r="66" spans="1:16" ht="57" customHeight="1" x14ac:dyDescent="0.25">
      <c r="A66" s="26"/>
      <c r="B66" s="210" t="s">
        <v>447</v>
      </c>
      <c r="C66" s="278"/>
      <c r="D66" s="243"/>
      <c r="E66" s="280"/>
      <c r="F66" s="276"/>
      <c r="M66" s="191">
        <v>1</v>
      </c>
      <c r="N66" s="191">
        <f>IF(M66=1,0,IF(M66=2,0.5,IF(M66=3,1,0)))</f>
        <v>0</v>
      </c>
      <c r="O66" s="191">
        <f>IF(AND(C66&gt;0,N66&gt;0),N66,0)</f>
        <v>0</v>
      </c>
    </row>
    <row r="67" spans="1:16" x14ac:dyDescent="0.25">
      <c r="A67" s="26"/>
      <c r="B67" s="232" t="s">
        <v>445</v>
      </c>
      <c r="C67" s="278"/>
      <c r="D67" s="243"/>
      <c r="E67" s="280"/>
      <c r="F67" s="276"/>
    </row>
    <row r="68" spans="1:16" ht="61.5" customHeight="1" x14ac:dyDescent="0.25">
      <c r="A68" s="26"/>
      <c r="B68" s="210" t="s">
        <v>447</v>
      </c>
      <c r="C68" s="278"/>
      <c r="D68" s="243"/>
      <c r="E68" s="280"/>
      <c r="F68" s="276"/>
      <c r="M68" s="191">
        <v>1</v>
      </c>
      <c r="N68" s="191">
        <f>IF(M68=1,0,IF(M68=2,0.5,IF(M68=3,1,0)))</f>
        <v>0</v>
      </c>
      <c r="O68" s="191">
        <f>IF(AND(C68&gt;0,N68&gt;0),N68,0)</f>
        <v>0</v>
      </c>
    </row>
    <row r="69" spans="1:16" x14ac:dyDescent="0.25">
      <c r="A69" s="30"/>
      <c r="B69" s="237" t="s">
        <v>445</v>
      </c>
      <c r="C69" s="279"/>
      <c r="D69" s="244"/>
      <c r="E69" s="281"/>
      <c r="F69" s="277"/>
    </row>
    <row r="70" spans="1:16" x14ac:dyDescent="0.25">
      <c r="A70" s="236">
        <v>5.17</v>
      </c>
      <c r="B70" s="204" t="s">
        <v>321</v>
      </c>
      <c r="C70" s="20"/>
      <c r="D70" s="20"/>
      <c r="E70" s="62"/>
      <c r="F70" s="282"/>
    </row>
    <row r="71" spans="1:16" ht="48.75" customHeight="1" x14ac:dyDescent="0.25">
      <c r="A71" s="26"/>
      <c r="B71" s="162" t="s">
        <v>322</v>
      </c>
      <c r="C71" s="20"/>
      <c r="D71" s="256"/>
      <c r="E71" s="249">
        <f>SUM(O73:O84)</f>
        <v>2</v>
      </c>
      <c r="F71" s="283"/>
      <c r="O71" s="191">
        <f>SUM(O62:O68)</f>
        <v>0</v>
      </c>
      <c r="P71" s="191">
        <f>IF(O71&gt;2.5,2.5,O71)</f>
        <v>0</v>
      </c>
    </row>
    <row r="72" spans="1:16" ht="138" customHeight="1" x14ac:dyDescent="0.25">
      <c r="A72" s="26"/>
      <c r="B72" s="20"/>
      <c r="C72" s="20"/>
      <c r="D72" s="256"/>
      <c r="E72" s="249"/>
      <c r="F72" s="283"/>
    </row>
    <row r="73" spans="1:16" ht="63" customHeight="1" x14ac:dyDescent="0.25">
      <c r="A73" s="26"/>
      <c r="B73" s="222" t="s">
        <v>420</v>
      </c>
      <c r="C73" s="273"/>
      <c r="D73" s="256"/>
      <c r="E73" s="249"/>
      <c r="F73" s="283"/>
      <c r="M73" s="191">
        <v>1</v>
      </c>
      <c r="N73" s="191">
        <f>IF(M73=1,0,IF(M73=2,0.5,IF(M73=3,1,IF(M73=4,2,0))))</f>
        <v>0</v>
      </c>
      <c r="O73" s="191">
        <f>IF(AND(C73&gt;0,N73&gt;0),N73,0)</f>
        <v>0</v>
      </c>
    </row>
    <row r="74" spans="1:16" ht="50.25" customHeight="1" x14ac:dyDescent="0.25">
      <c r="A74" s="26"/>
      <c r="B74" s="219" t="s">
        <v>418</v>
      </c>
      <c r="C74" s="274"/>
      <c r="D74" s="256"/>
      <c r="E74" s="249"/>
      <c r="F74" s="283"/>
    </row>
    <row r="75" spans="1:16" ht="70.5" customHeight="1" x14ac:dyDescent="0.25">
      <c r="A75" s="26"/>
      <c r="B75" s="222" t="s">
        <v>419</v>
      </c>
      <c r="C75" s="273"/>
      <c r="D75" s="256"/>
      <c r="E75" s="249"/>
      <c r="F75" s="283"/>
      <c r="M75" s="191">
        <v>1</v>
      </c>
      <c r="N75" s="191">
        <f>IF(M75=1,0,IF(M75=2,0.5,IF(M75=3,1,IF(M75=4,2,0))))</f>
        <v>0</v>
      </c>
      <c r="O75" s="191">
        <f>IF(AND(C75&gt;0,N75&gt;0),N75,0)</f>
        <v>0</v>
      </c>
    </row>
    <row r="76" spans="1:16" ht="54.75" customHeight="1" x14ac:dyDescent="0.25">
      <c r="A76" s="26"/>
      <c r="B76" s="219" t="s">
        <v>418</v>
      </c>
      <c r="C76" s="274"/>
      <c r="D76" s="256"/>
      <c r="E76" s="249"/>
      <c r="F76" s="283"/>
    </row>
    <row r="77" spans="1:16" ht="66" customHeight="1" x14ac:dyDescent="0.25">
      <c r="A77" s="26"/>
      <c r="B77" s="222" t="s">
        <v>421</v>
      </c>
      <c r="C77" s="286"/>
      <c r="D77" s="256"/>
      <c r="E77" s="249"/>
      <c r="F77" s="283"/>
      <c r="M77" s="191">
        <v>1</v>
      </c>
      <c r="N77" s="191">
        <f>IF(M77=1,0,IF(M77=2,0.5,IF(M77=3,1,IF(M77=4,2,0))))</f>
        <v>0</v>
      </c>
      <c r="O77" s="191">
        <f t="shared" ref="O77:O81" si="4">IF(AND(C77&gt;0,N77&gt;0),N77,0)</f>
        <v>0</v>
      </c>
    </row>
    <row r="78" spans="1:16" ht="54.75" customHeight="1" x14ac:dyDescent="0.25">
      <c r="A78" s="26"/>
      <c r="B78" s="219" t="s">
        <v>418</v>
      </c>
      <c r="C78" s="286"/>
      <c r="D78" s="256"/>
      <c r="E78" s="249"/>
      <c r="F78" s="283"/>
    </row>
    <row r="79" spans="1:16" ht="70.5" customHeight="1" x14ac:dyDescent="0.25">
      <c r="A79" s="26"/>
      <c r="B79" s="222" t="s">
        <v>422</v>
      </c>
      <c r="C79" s="286"/>
      <c r="D79" s="256"/>
      <c r="E79" s="249"/>
      <c r="F79" s="283"/>
      <c r="M79" s="191">
        <v>1</v>
      </c>
      <c r="N79" s="191">
        <f>IF(M79=1,0,IF(M79=2,0.5,IF(M79=3,1,IF(M79=4,2,0))))</f>
        <v>0</v>
      </c>
      <c r="O79" s="191">
        <f t="shared" si="4"/>
        <v>0</v>
      </c>
    </row>
    <row r="80" spans="1:16" ht="54.75" customHeight="1" x14ac:dyDescent="0.25">
      <c r="A80" s="26"/>
      <c r="B80" s="219" t="s">
        <v>418</v>
      </c>
      <c r="C80" s="286"/>
      <c r="D80" s="256"/>
      <c r="E80" s="249"/>
      <c r="F80" s="283"/>
    </row>
    <row r="81" spans="1:15" ht="65.25" customHeight="1" x14ac:dyDescent="0.25">
      <c r="A81" s="26"/>
      <c r="B81" s="222" t="s">
        <v>423</v>
      </c>
      <c r="C81" s="286"/>
      <c r="D81" s="256"/>
      <c r="E81" s="249"/>
      <c r="F81" s="283"/>
      <c r="M81" s="191">
        <v>1</v>
      </c>
      <c r="N81" s="191">
        <f>IF(M81=1,0,IF(M81=2,0.5,IF(M81=3,1,IF(M81=4,2,0))))</f>
        <v>0</v>
      </c>
      <c r="O81" s="191">
        <f t="shared" si="4"/>
        <v>0</v>
      </c>
    </row>
    <row r="82" spans="1:15" ht="54.75" customHeight="1" x14ac:dyDescent="0.25">
      <c r="A82" s="26"/>
      <c r="B82" s="219" t="s">
        <v>418</v>
      </c>
      <c r="C82" s="286"/>
      <c r="D82" s="256"/>
      <c r="E82" s="249"/>
      <c r="F82" s="283"/>
    </row>
    <row r="83" spans="1:15" ht="70.5" customHeight="1" x14ac:dyDescent="0.25">
      <c r="A83" s="26"/>
      <c r="B83" s="222" t="s">
        <v>424</v>
      </c>
      <c r="C83" s="285" t="s">
        <v>448</v>
      </c>
      <c r="D83" s="256"/>
      <c r="E83" s="249"/>
      <c r="F83" s="283"/>
      <c r="M83" s="191">
        <v>4</v>
      </c>
      <c r="N83" s="191">
        <f>IF(M83=1,0,IF(M83=2,0.5,IF(M83=3,1,IF(M83=4,2,0))))</f>
        <v>2</v>
      </c>
      <c r="O83" s="191">
        <f t="shared" ref="O83" si="5">IF(AND(C83&gt;0,N83&gt;0),N83,0)</f>
        <v>2</v>
      </c>
    </row>
    <row r="84" spans="1:15" ht="51" customHeight="1" x14ac:dyDescent="0.25">
      <c r="A84" s="30"/>
      <c r="B84" s="221" t="s">
        <v>418</v>
      </c>
      <c r="C84" s="285"/>
      <c r="D84" s="272"/>
      <c r="E84" s="259"/>
      <c r="F84" s="284"/>
    </row>
  </sheetData>
  <sheetProtection algorithmName="SHA-512" hashValue="jhwiel/vSEHlhpqwXmXzL+oXLNxo/Ni+VK9YkgPhfCP6FMjAxjMKntbIjGaZKTNoAEH9sEDnkGWtnV9Un/8JGA==" saltValue="5vKPfQ++keeG6IfntIbYSw==" spinCount="100000" sheet="1" objects="1" scenarios="1"/>
  <mergeCells count="50">
    <mergeCell ref="C73:C74"/>
    <mergeCell ref="C75:C76"/>
    <mergeCell ref="C83:C84"/>
    <mergeCell ref="C77:C78"/>
    <mergeCell ref="C79:C80"/>
    <mergeCell ref="C81:C82"/>
    <mergeCell ref="D6:D8"/>
    <mergeCell ref="E6:E8"/>
    <mergeCell ref="D9:D11"/>
    <mergeCell ref="E9:E11"/>
    <mergeCell ref="C19:C20"/>
    <mergeCell ref="D18:D20"/>
    <mergeCell ref="E18:E20"/>
    <mergeCell ref="D32:D37"/>
    <mergeCell ref="E32:E37"/>
    <mergeCell ref="D39:D40"/>
    <mergeCell ref="E39:E40"/>
    <mergeCell ref="E28:E30"/>
    <mergeCell ref="D28:D30"/>
    <mergeCell ref="F51:F55"/>
    <mergeCell ref="D42:D43"/>
    <mergeCell ref="E42:E43"/>
    <mergeCell ref="D45:D48"/>
    <mergeCell ref="E45:E48"/>
    <mergeCell ref="E52:E55"/>
    <mergeCell ref="D52:D55"/>
    <mergeCell ref="F56:F57"/>
    <mergeCell ref="F70:F84"/>
    <mergeCell ref="D71:D84"/>
    <mergeCell ref="E71:E84"/>
    <mergeCell ref="F6:F8"/>
    <mergeCell ref="F9:F11"/>
    <mergeCell ref="F12:F16"/>
    <mergeCell ref="F17:F20"/>
    <mergeCell ref="F21:F22"/>
    <mergeCell ref="F23:F26"/>
    <mergeCell ref="F27:F30"/>
    <mergeCell ref="F31:F37"/>
    <mergeCell ref="F38:F40"/>
    <mergeCell ref="F41:F43"/>
    <mergeCell ref="F44:F48"/>
    <mergeCell ref="F49:F50"/>
    <mergeCell ref="F58:F60"/>
    <mergeCell ref="C68:C69"/>
    <mergeCell ref="D61:D69"/>
    <mergeCell ref="E61:E69"/>
    <mergeCell ref="F61:F69"/>
    <mergeCell ref="C62:C63"/>
    <mergeCell ref="C64:C65"/>
    <mergeCell ref="C66:C67"/>
  </mergeCells>
  <dataValidations disablePrompts="1" count="2">
    <dataValidation type="list" allowBlank="1" showInputMessage="1" showErrorMessage="1" promptTitle="Choose from the list" prompt="Choose from the list" sqref="C30" xr:uid="{00000000-0002-0000-0600-000000000000}">
      <formula1>$P$29:$P$33</formula1>
    </dataValidation>
    <dataValidation type="decimal" allowBlank="1" showInputMessage="1" showErrorMessage="1" sqref="C53" xr:uid="{00000000-0002-0000-0600-000001000000}">
      <formula1>0</formula1>
      <formula2>99999999999</formula2>
    </dataValidation>
  </dataValidations>
  <pageMargins left="0.7" right="0.7" top="0.75" bottom="0.75" header="0.3" footer="0.3"/>
  <pageSetup paperSize="9" scale="52" fitToHeight="0" orientation="portrait" r:id="rId1"/>
  <rowBreaks count="1" manualBreakCount="1">
    <brk id="4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ltText="">
                <anchor moveWithCells="1">
                  <from>
                    <xdr:col>2</xdr:col>
                    <xdr:colOff>523875</xdr:colOff>
                    <xdr:row>14</xdr:row>
                    <xdr:rowOff>133350</xdr:rowOff>
                  </from>
                  <to>
                    <xdr:col>2</xdr:col>
                    <xdr:colOff>838200</xdr:colOff>
                    <xdr:row>14</xdr:row>
                    <xdr:rowOff>523875</xdr:rowOff>
                  </to>
                </anchor>
              </controlPr>
            </control>
          </mc:Choice>
        </mc:AlternateContent>
        <mc:AlternateContent xmlns:mc="http://schemas.openxmlformats.org/markup-compatibility/2006">
          <mc:Choice Requires="x14">
            <control shapeId="10242" r:id="rId5" name="Check Box 2">
              <controlPr defaultSize="0" autoFill="0" autoLine="0" autoPict="0" altText="">
                <anchor moveWithCells="1">
                  <from>
                    <xdr:col>2</xdr:col>
                    <xdr:colOff>504825</xdr:colOff>
                    <xdr:row>14</xdr:row>
                    <xdr:rowOff>638175</xdr:rowOff>
                  </from>
                  <to>
                    <xdr:col>2</xdr:col>
                    <xdr:colOff>809625</xdr:colOff>
                    <xdr:row>16</xdr:row>
                    <xdr:rowOff>28575</xdr:rowOff>
                  </to>
                </anchor>
              </controlPr>
            </control>
          </mc:Choice>
        </mc:AlternateContent>
        <mc:AlternateContent xmlns:mc="http://schemas.openxmlformats.org/markup-compatibility/2006">
          <mc:Choice Requires="x14">
            <control shapeId="10245" r:id="rId6" name="Check Box 5">
              <controlPr defaultSize="0" autoFill="0" autoLine="0" autoPict="0" altText="">
                <anchor moveWithCells="1">
                  <from>
                    <xdr:col>2</xdr:col>
                    <xdr:colOff>514350</xdr:colOff>
                    <xdr:row>18</xdr:row>
                    <xdr:rowOff>276225</xdr:rowOff>
                  </from>
                  <to>
                    <xdr:col>2</xdr:col>
                    <xdr:colOff>1381125</xdr:colOff>
                    <xdr:row>18</xdr:row>
                    <xdr:rowOff>495300</xdr:rowOff>
                  </to>
                </anchor>
              </controlPr>
            </control>
          </mc:Choice>
        </mc:AlternateContent>
        <mc:AlternateContent xmlns:mc="http://schemas.openxmlformats.org/markup-compatibility/2006">
          <mc:Choice Requires="x14">
            <control shapeId="10246" r:id="rId7" name="Check Box 6">
              <controlPr defaultSize="0" autoFill="0" autoLine="0" autoPict="0" altText="">
                <anchor moveWithCells="1">
                  <from>
                    <xdr:col>2</xdr:col>
                    <xdr:colOff>514350</xdr:colOff>
                    <xdr:row>21</xdr:row>
                    <xdr:rowOff>276225</xdr:rowOff>
                  </from>
                  <to>
                    <xdr:col>2</xdr:col>
                    <xdr:colOff>981075</xdr:colOff>
                    <xdr:row>21</xdr:row>
                    <xdr:rowOff>638175</xdr:rowOff>
                  </to>
                </anchor>
              </controlPr>
            </control>
          </mc:Choice>
        </mc:AlternateContent>
        <mc:AlternateContent xmlns:mc="http://schemas.openxmlformats.org/markup-compatibility/2006">
          <mc:Choice Requires="x14">
            <control shapeId="10248" r:id="rId8" name="Check Box 8">
              <controlPr defaultSize="0" autoFill="0" autoLine="0" autoPict="0" altText="">
                <anchor moveWithCells="1">
                  <from>
                    <xdr:col>2</xdr:col>
                    <xdr:colOff>561975</xdr:colOff>
                    <xdr:row>23</xdr:row>
                    <xdr:rowOff>542925</xdr:rowOff>
                  </from>
                  <to>
                    <xdr:col>2</xdr:col>
                    <xdr:colOff>1428750</xdr:colOff>
                    <xdr:row>25</xdr:row>
                    <xdr:rowOff>19050</xdr:rowOff>
                  </to>
                </anchor>
              </controlPr>
            </control>
          </mc:Choice>
        </mc:AlternateContent>
        <mc:AlternateContent xmlns:mc="http://schemas.openxmlformats.org/markup-compatibility/2006">
          <mc:Choice Requires="x14">
            <control shapeId="10249" r:id="rId9" name="Check Box 9">
              <controlPr defaultSize="0" autoFill="0" autoLine="0" autoPict="0" altText="">
                <anchor moveWithCells="1">
                  <from>
                    <xdr:col>2</xdr:col>
                    <xdr:colOff>561975</xdr:colOff>
                    <xdr:row>24</xdr:row>
                    <xdr:rowOff>180975</xdr:rowOff>
                  </from>
                  <to>
                    <xdr:col>2</xdr:col>
                    <xdr:colOff>1428750</xdr:colOff>
                    <xdr:row>26</xdr:row>
                    <xdr:rowOff>19050</xdr:rowOff>
                  </to>
                </anchor>
              </controlPr>
            </control>
          </mc:Choice>
        </mc:AlternateContent>
        <mc:AlternateContent xmlns:mc="http://schemas.openxmlformats.org/markup-compatibility/2006">
          <mc:Choice Requires="x14">
            <control shapeId="10251" r:id="rId10" name="Check Box 11">
              <controlPr defaultSize="0" autoFill="0" autoLine="0" autoPict="0" altText="">
                <anchor moveWithCells="1">
                  <from>
                    <xdr:col>2</xdr:col>
                    <xdr:colOff>514350</xdr:colOff>
                    <xdr:row>4</xdr:row>
                    <xdr:rowOff>180975</xdr:rowOff>
                  </from>
                  <to>
                    <xdr:col>2</xdr:col>
                    <xdr:colOff>1381125</xdr:colOff>
                    <xdr:row>4</xdr:row>
                    <xdr:rowOff>400050</xdr:rowOff>
                  </to>
                </anchor>
              </controlPr>
            </control>
          </mc:Choice>
        </mc:AlternateContent>
        <mc:AlternateContent xmlns:mc="http://schemas.openxmlformats.org/markup-compatibility/2006">
          <mc:Choice Requires="x14">
            <control shapeId="10255" r:id="rId11" name="Check Box 15">
              <controlPr defaultSize="0" autoFill="0" autoLine="0" autoPict="0" altText="">
                <anchor moveWithCells="1">
                  <from>
                    <xdr:col>2</xdr:col>
                    <xdr:colOff>533400</xdr:colOff>
                    <xdr:row>31</xdr:row>
                    <xdr:rowOff>561975</xdr:rowOff>
                  </from>
                  <to>
                    <xdr:col>2</xdr:col>
                    <xdr:colOff>1400175</xdr:colOff>
                    <xdr:row>33</xdr:row>
                    <xdr:rowOff>28575</xdr:rowOff>
                  </to>
                </anchor>
              </controlPr>
            </control>
          </mc:Choice>
        </mc:AlternateContent>
        <mc:AlternateContent xmlns:mc="http://schemas.openxmlformats.org/markup-compatibility/2006">
          <mc:Choice Requires="x14">
            <control shapeId="10256" r:id="rId12" name="Check Box 16">
              <controlPr defaultSize="0" autoFill="0" autoLine="0" autoPict="0" altText="">
                <anchor moveWithCells="1">
                  <from>
                    <xdr:col>2</xdr:col>
                    <xdr:colOff>533400</xdr:colOff>
                    <xdr:row>33</xdr:row>
                    <xdr:rowOff>142875</xdr:rowOff>
                  </from>
                  <to>
                    <xdr:col>2</xdr:col>
                    <xdr:colOff>1400175</xdr:colOff>
                    <xdr:row>35</xdr:row>
                    <xdr:rowOff>19050</xdr:rowOff>
                  </to>
                </anchor>
              </controlPr>
            </control>
          </mc:Choice>
        </mc:AlternateContent>
        <mc:AlternateContent xmlns:mc="http://schemas.openxmlformats.org/markup-compatibility/2006">
          <mc:Choice Requires="x14">
            <control shapeId="10257" r:id="rId13" name="Check Box 17">
              <controlPr defaultSize="0" autoFill="0" autoLine="0" autoPict="0" altText="">
                <anchor moveWithCells="1">
                  <from>
                    <xdr:col>2</xdr:col>
                    <xdr:colOff>542925</xdr:colOff>
                    <xdr:row>34</xdr:row>
                    <xdr:rowOff>171450</xdr:rowOff>
                  </from>
                  <to>
                    <xdr:col>2</xdr:col>
                    <xdr:colOff>1409700</xdr:colOff>
                    <xdr:row>36</xdr:row>
                    <xdr:rowOff>19050</xdr:rowOff>
                  </to>
                </anchor>
              </controlPr>
            </control>
          </mc:Choice>
        </mc:AlternateContent>
        <mc:AlternateContent xmlns:mc="http://schemas.openxmlformats.org/markup-compatibility/2006">
          <mc:Choice Requires="x14">
            <control shapeId="10258" r:id="rId14" name="Check Box 18">
              <controlPr defaultSize="0" autoFill="0" autoLine="0" autoPict="0" altText="">
                <anchor moveWithCells="1">
                  <from>
                    <xdr:col>2</xdr:col>
                    <xdr:colOff>552450</xdr:colOff>
                    <xdr:row>35</xdr:row>
                    <xdr:rowOff>180975</xdr:rowOff>
                  </from>
                  <to>
                    <xdr:col>2</xdr:col>
                    <xdr:colOff>1419225</xdr:colOff>
                    <xdr:row>37</xdr:row>
                    <xdr:rowOff>28575</xdr:rowOff>
                  </to>
                </anchor>
              </controlPr>
            </control>
          </mc:Choice>
        </mc:AlternateContent>
        <mc:AlternateContent xmlns:mc="http://schemas.openxmlformats.org/markup-compatibility/2006">
          <mc:Choice Requires="x14">
            <control shapeId="10259" r:id="rId15" name="Check Box 19">
              <controlPr defaultSize="0" autoFill="0" autoLine="0" autoPict="0" altText="">
                <anchor moveWithCells="1">
                  <from>
                    <xdr:col>2</xdr:col>
                    <xdr:colOff>533400</xdr:colOff>
                    <xdr:row>38</xdr:row>
                    <xdr:rowOff>95250</xdr:rowOff>
                  </from>
                  <to>
                    <xdr:col>2</xdr:col>
                    <xdr:colOff>1400175</xdr:colOff>
                    <xdr:row>39</xdr:row>
                    <xdr:rowOff>9525</xdr:rowOff>
                  </to>
                </anchor>
              </controlPr>
            </control>
          </mc:Choice>
        </mc:AlternateContent>
        <mc:AlternateContent xmlns:mc="http://schemas.openxmlformats.org/markup-compatibility/2006">
          <mc:Choice Requires="x14">
            <control shapeId="10260" r:id="rId16" name="Check Box 20">
              <controlPr defaultSize="0" autoFill="0" autoLine="0" autoPict="0" altText="">
                <anchor moveWithCells="1">
                  <from>
                    <xdr:col>2</xdr:col>
                    <xdr:colOff>542925</xdr:colOff>
                    <xdr:row>39</xdr:row>
                    <xdr:rowOff>47625</xdr:rowOff>
                  </from>
                  <to>
                    <xdr:col>2</xdr:col>
                    <xdr:colOff>1409700</xdr:colOff>
                    <xdr:row>39</xdr:row>
                    <xdr:rowOff>276225</xdr:rowOff>
                  </to>
                </anchor>
              </controlPr>
            </control>
          </mc:Choice>
        </mc:AlternateContent>
        <mc:AlternateContent xmlns:mc="http://schemas.openxmlformats.org/markup-compatibility/2006">
          <mc:Choice Requires="x14">
            <control shapeId="10261" r:id="rId17" name="Check Box 21">
              <controlPr defaultSize="0" autoFill="0" autoLine="0" autoPict="0" altText="">
                <anchor moveWithCells="1">
                  <from>
                    <xdr:col>2</xdr:col>
                    <xdr:colOff>542925</xdr:colOff>
                    <xdr:row>40</xdr:row>
                    <xdr:rowOff>161925</xdr:rowOff>
                  </from>
                  <to>
                    <xdr:col>2</xdr:col>
                    <xdr:colOff>1409700</xdr:colOff>
                    <xdr:row>42</xdr:row>
                    <xdr:rowOff>9525</xdr:rowOff>
                  </to>
                </anchor>
              </controlPr>
            </control>
          </mc:Choice>
        </mc:AlternateContent>
        <mc:AlternateContent xmlns:mc="http://schemas.openxmlformats.org/markup-compatibility/2006">
          <mc:Choice Requires="x14">
            <control shapeId="10262" r:id="rId18" name="Check Box 22">
              <controlPr defaultSize="0" autoFill="0" autoLine="0" autoPict="0" altText="">
                <anchor moveWithCells="1">
                  <from>
                    <xdr:col>2</xdr:col>
                    <xdr:colOff>552450</xdr:colOff>
                    <xdr:row>42</xdr:row>
                    <xdr:rowOff>847725</xdr:rowOff>
                  </from>
                  <to>
                    <xdr:col>2</xdr:col>
                    <xdr:colOff>981075</xdr:colOff>
                    <xdr:row>42</xdr:row>
                    <xdr:rowOff>1371600</xdr:rowOff>
                  </to>
                </anchor>
              </controlPr>
            </control>
          </mc:Choice>
        </mc:AlternateContent>
        <mc:AlternateContent xmlns:mc="http://schemas.openxmlformats.org/markup-compatibility/2006">
          <mc:Choice Requires="x14">
            <control shapeId="10263" r:id="rId19" name="Check Box 23">
              <controlPr defaultSize="0" autoFill="0" autoLine="0" autoPict="0" altText="">
                <anchor moveWithCells="1">
                  <from>
                    <xdr:col>2</xdr:col>
                    <xdr:colOff>542925</xdr:colOff>
                    <xdr:row>44</xdr:row>
                    <xdr:rowOff>352425</xdr:rowOff>
                  </from>
                  <to>
                    <xdr:col>2</xdr:col>
                    <xdr:colOff>1409700</xdr:colOff>
                    <xdr:row>46</xdr:row>
                    <xdr:rowOff>19050</xdr:rowOff>
                  </to>
                </anchor>
              </controlPr>
            </control>
          </mc:Choice>
        </mc:AlternateContent>
        <mc:AlternateContent xmlns:mc="http://schemas.openxmlformats.org/markup-compatibility/2006">
          <mc:Choice Requires="x14">
            <control shapeId="10264" r:id="rId20" name="Check Box 24">
              <controlPr defaultSize="0" autoFill="0" autoLine="0" autoPict="0" altText="">
                <anchor moveWithCells="1">
                  <from>
                    <xdr:col>2</xdr:col>
                    <xdr:colOff>552450</xdr:colOff>
                    <xdr:row>45</xdr:row>
                    <xdr:rowOff>171450</xdr:rowOff>
                  </from>
                  <to>
                    <xdr:col>2</xdr:col>
                    <xdr:colOff>1419225</xdr:colOff>
                    <xdr:row>47</xdr:row>
                    <xdr:rowOff>19050</xdr:rowOff>
                  </to>
                </anchor>
              </controlPr>
            </control>
          </mc:Choice>
        </mc:AlternateContent>
        <mc:AlternateContent xmlns:mc="http://schemas.openxmlformats.org/markup-compatibility/2006">
          <mc:Choice Requires="x14">
            <control shapeId="10265" r:id="rId21" name="Check Box 25">
              <controlPr defaultSize="0" autoFill="0" autoLine="0" autoPict="0" altText="">
                <anchor moveWithCells="1">
                  <from>
                    <xdr:col>2</xdr:col>
                    <xdr:colOff>552450</xdr:colOff>
                    <xdr:row>46</xdr:row>
                    <xdr:rowOff>171450</xdr:rowOff>
                  </from>
                  <to>
                    <xdr:col>2</xdr:col>
                    <xdr:colOff>1419225</xdr:colOff>
                    <xdr:row>48</xdr:row>
                    <xdr:rowOff>19050</xdr:rowOff>
                  </to>
                </anchor>
              </controlPr>
            </control>
          </mc:Choice>
        </mc:AlternateContent>
        <mc:AlternateContent xmlns:mc="http://schemas.openxmlformats.org/markup-compatibility/2006">
          <mc:Choice Requires="x14">
            <control shapeId="10266" r:id="rId22" name="Check Box 26">
              <controlPr defaultSize="0" autoFill="0" autoLine="0" autoPict="0" altText="">
                <anchor moveWithCells="1">
                  <from>
                    <xdr:col>2</xdr:col>
                    <xdr:colOff>533400</xdr:colOff>
                    <xdr:row>49</xdr:row>
                    <xdr:rowOff>85725</xdr:rowOff>
                  </from>
                  <to>
                    <xdr:col>2</xdr:col>
                    <xdr:colOff>1400175</xdr:colOff>
                    <xdr:row>50</xdr:row>
                    <xdr:rowOff>9525</xdr:rowOff>
                  </to>
                </anchor>
              </controlPr>
            </control>
          </mc:Choice>
        </mc:AlternateContent>
        <mc:AlternateContent xmlns:mc="http://schemas.openxmlformats.org/markup-compatibility/2006">
          <mc:Choice Requires="x14">
            <control shapeId="10267" r:id="rId23" name="Check Box 27">
              <controlPr defaultSize="0" autoFill="0" autoLine="0" autoPict="0" altText="">
                <anchor moveWithCells="1">
                  <from>
                    <xdr:col>2</xdr:col>
                    <xdr:colOff>533400</xdr:colOff>
                    <xdr:row>53</xdr:row>
                    <xdr:rowOff>85725</xdr:rowOff>
                  </from>
                  <to>
                    <xdr:col>2</xdr:col>
                    <xdr:colOff>952500</xdr:colOff>
                    <xdr:row>54</xdr:row>
                    <xdr:rowOff>0</xdr:rowOff>
                  </to>
                </anchor>
              </controlPr>
            </control>
          </mc:Choice>
        </mc:AlternateContent>
        <mc:AlternateContent xmlns:mc="http://schemas.openxmlformats.org/markup-compatibility/2006">
          <mc:Choice Requires="x14">
            <control shapeId="10268" r:id="rId24" name="Check Box 28">
              <controlPr defaultSize="0" autoFill="0" autoLine="0" autoPict="0" altText="">
                <anchor moveWithCells="1">
                  <from>
                    <xdr:col>2</xdr:col>
                    <xdr:colOff>533400</xdr:colOff>
                    <xdr:row>54</xdr:row>
                    <xdr:rowOff>85725</xdr:rowOff>
                  </from>
                  <to>
                    <xdr:col>2</xdr:col>
                    <xdr:colOff>1400175</xdr:colOff>
                    <xdr:row>54</xdr:row>
                    <xdr:rowOff>314325</xdr:rowOff>
                  </to>
                </anchor>
              </controlPr>
            </control>
          </mc:Choice>
        </mc:AlternateContent>
        <mc:AlternateContent xmlns:mc="http://schemas.openxmlformats.org/markup-compatibility/2006">
          <mc:Choice Requires="x14">
            <control shapeId="10269" r:id="rId25" name="Check Box 29">
              <controlPr defaultSize="0" autoFill="0" autoLine="0" autoPict="0" altText="">
                <anchor moveWithCells="1">
                  <from>
                    <xdr:col>2</xdr:col>
                    <xdr:colOff>523875</xdr:colOff>
                    <xdr:row>56</xdr:row>
                    <xdr:rowOff>66675</xdr:rowOff>
                  </from>
                  <to>
                    <xdr:col>2</xdr:col>
                    <xdr:colOff>904875</xdr:colOff>
                    <xdr:row>56</xdr:row>
                    <xdr:rowOff>371475</xdr:rowOff>
                  </to>
                </anchor>
              </controlPr>
            </control>
          </mc:Choice>
        </mc:AlternateContent>
        <mc:AlternateContent xmlns:mc="http://schemas.openxmlformats.org/markup-compatibility/2006">
          <mc:Choice Requires="x14">
            <control shapeId="10270" r:id="rId26" name="List Box 30">
              <controlPr defaultSize="0" autoLine="0" autoPict="0">
                <anchor moveWithCells="1">
                  <from>
                    <xdr:col>1</xdr:col>
                    <xdr:colOff>3390900</xdr:colOff>
                    <xdr:row>72</xdr:row>
                    <xdr:rowOff>247650</xdr:rowOff>
                  </from>
                  <to>
                    <xdr:col>1</xdr:col>
                    <xdr:colOff>4657725</xdr:colOff>
                    <xdr:row>72</xdr:row>
                    <xdr:rowOff>752475</xdr:rowOff>
                  </to>
                </anchor>
              </controlPr>
            </control>
          </mc:Choice>
        </mc:AlternateContent>
        <mc:AlternateContent xmlns:mc="http://schemas.openxmlformats.org/markup-compatibility/2006">
          <mc:Choice Requires="x14">
            <control shapeId="10271" r:id="rId27" name="List Box 31">
              <controlPr defaultSize="0" autoLine="0" autoPict="0">
                <anchor moveWithCells="1">
                  <from>
                    <xdr:col>1</xdr:col>
                    <xdr:colOff>3419475</xdr:colOff>
                    <xdr:row>74</xdr:row>
                    <xdr:rowOff>247650</xdr:rowOff>
                  </from>
                  <to>
                    <xdr:col>1</xdr:col>
                    <xdr:colOff>4686300</xdr:colOff>
                    <xdr:row>75</xdr:row>
                    <xdr:rowOff>0</xdr:rowOff>
                  </to>
                </anchor>
              </controlPr>
            </control>
          </mc:Choice>
        </mc:AlternateContent>
        <mc:AlternateContent xmlns:mc="http://schemas.openxmlformats.org/markup-compatibility/2006">
          <mc:Choice Requires="x14">
            <control shapeId="10272" r:id="rId28" name="List Box 32">
              <controlPr defaultSize="0" autoLine="0" autoPict="0">
                <anchor moveWithCells="1">
                  <from>
                    <xdr:col>1</xdr:col>
                    <xdr:colOff>3400425</xdr:colOff>
                    <xdr:row>82</xdr:row>
                    <xdr:rowOff>266700</xdr:rowOff>
                  </from>
                  <to>
                    <xdr:col>1</xdr:col>
                    <xdr:colOff>4667250</xdr:colOff>
                    <xdr:row>83</xdr:row>
                    <xdr:rowOff>0</xdr:rowOff>
                  </to>
                </anchor>
              </controlPr>
            </control>
          </mc:Choice>
        </mc:AlternateContent>
        <mc:AlternateContent xmlns:mc="http://schemas.openxmlformats.org/markup-compatibility/2006">
          <mc:Choice Requires="x14">
            <control shapeId="10273" r:id="rId29" name="List Box 33">
              <controlPr defaultSize="0" autoLine="0" autoPict="0">
                <anchor moveWithCells="1">
                  <from>
                    <xdr:col>1</xdr:col>
                    <xdr:colOff>3419475</xdr:colOff>
                    <xdr:row>76</xdr:row>
                    <xdr:rowOff>266700</xdr:rowOff>
                  </from>
                  <to>
                    <xdr:col>1</xdr:col>
                    <xdr:colOff>4686300</xdr:colOff>
                    <xdr:row>77</xdr:row>
                    <xdr:rowOff>0</xdr:rowOff>
                  </to>
                </anchor>
              </controlPr>
            </control>
          </mc:Choice>
        </mc:AlternateContent>
        <mc:AlternateContent xmlns:mc="http://schemas.openxmlformats.org/markup-compatibility/2006">
          <mc:Choice Requires="x14">
            <control shapeId="10274" r:id="rId30" name="List Box 34">
              <controlPr defaultSize="0" autoLine="0" autoPict="0">
                <anchor moveWithCells="1">
                  <from>
                    <xdr:col>1</xdr:col>
                    <xdr:colOff>3409950</xdr:colOff>
                    <xdr:row>78</xdr:row>
                    <xdr:rowOff>276225</xdr:rowOff>
                  </from>
                  <to>
                    <xdr:col>1</xdr:col>
                    <xdr:colOff>4667250</xdr:colOff>
                    <xdr:row>79</xdr:row>
                    <xdr:rowOff>0</xdr:rowOff>
                  </to>
                </anchor>
              </controlPr>
            </control>
          </mc:Choice>
        </mc:AlternateContent>
        <mc:AlternateContent xmlns:mc="http://schemas.openxmlformats.org/markup-compatibility/2006">
          <mc:Choice Requires="x14">
            <control shapeId="10275" r:id="rId31" name="List Box 35">
              <controlPr defaultSize="0" autoLine="0" autoPict="0">
                <anchor moveWithCells="1">
                  <from>
                    <xdr:col>1</xdr:col>
                    <xdr:colOff>3429000</xdr:colOff>
                    <xdr:row>80</xdr:row>
                    <xdr:rowOff>247650</xdr:rowOff>
                  </from>
                  <to>
                    <xdr:col>1</xdr:col>
                    <xdr:colOff>4686300</xdr:colOff>
                    <xdr:row>81</xdr:row>
                    <xdr:rowOff>0</xdr:rowOff>
                  </to>
                </anchor>
              </controlPr>
            </control>
          </mc:Choice>
        </mc:AlternateContent>
        <mc:AlternateContent xmlns:mc="http://schemas.openxmlformats.org/markup-compatibility/2006">
          <mc:Choice Requires="x14">
            <control shapeId="10276" r:id="rId32" name="Check Box 36">
              <controlPr defaultSize="0" autoFill="0" autoLine="0" autoPict="0" altText="">
                <anchor moveWithCells="1">
                  <from>
                    <xdr:col>2</xdr:col>
                    <xdr:colOff>533400</xdr:colOff>
                    <xdr:row>59</xdr:row>
                    <xdr:rowOff>47625</xdr:rowOff>
                  </from>
                  <to>
                    <xdr:col>2</xdr:col>
                    <xdr:colOff>914400</xdr:colOff>
                    <xdr:row>59</xdr:row>
                    <xdr:rowOff>352425</xdr:rowOff>
                  </to>
                </anchor>
              </controlPr>
            </control>
          </mc:Choice>
        </mc:AlternateContent>
        <mc:AlternateContent xmlns:mc="http://schemas.openxmlformats.org/markup-compatibility/2006">
          <mc:Choice Requires="x14">
            <control shapeId="10278" r:id="rId33" name="List Box 38">
              <controlPr defaultSize="0" autoLine="0" autoPict="0">
                <anchor moveWithCells="1">
                  <from>
                    <xdr:col>1</xdr:col>
                    <xdr:colOff>3400425</xdr:colOff>
                    <xdr:row>61</xdr:row>
                    <xdr:rowOff>257175</xdr:rowOff>
                  </from>
                  <to>
                    <xdr:col>1</xdr:col>
                    <xdr:colOff>4667250</xdr:colOff>
                    <xdr:row>61</xdr:row>
                    <xdr:rowOff>676275</xdr:rowOff>
                  </to>
                </anchor>
              </controlPr>
            </control>
          </mc:Choice>
        </mc:AlternateContent>
        <mc:AlternateContent xmlns:mc="http://schemas.openxmlformats.org/markup-compatibility/2006">
          <mc:Choice Requires="x14">
            <control shapeId="10279" r:id="rId34" name="List Box 39">
              <controlPr defaultSize="0" autoLine="0" autoPict="0">
                <anchor moveWithCells="1">
                  <from>
                    <xdr:col>1</xdr:col>
                    <xdr:colOff>3400425</xdr:colOff>
                    <xdr:row>63</xdr:row>
                    <xdr:rowOff>257175</xdr:rowOff>
                  </from>
                  <to>
                    <xdr:col>1</xdr:col>
                    <xdr:colOff>4667250</xdr:colOff>
                    <xdr:row>63</xdr:row>
                    <xdr:rowOff>676275</xdr:rowOff>
                  </to>
                </anchor>
              </controlPr>
            </control>
          </mc:Choice>
        </mc:AlternateContent>
        <mc:AlternateContent xmlns:mc="http://schemas.openxmlformats.org/markup-compatibility/2006">
          <mc:Choice Requires="x14">
            <control shapeId="10280" r:id="rId35" name="List Box 40">
              <controlPr defaultSize="0" autoLine="0" autoPict="0">
                <anchor moveWithCells="1">
                  <from>
                    <xdr:col>1</xdr:col>
                    <xdr:colOff>3400425</xdr:colOff>
                    <xdr:row>65</xdr:row>
                    <xdr:rowOff>257175</xdr:rowOff>
                  </from>
                  <to>
                    <xdr:col>1</xdr:col>
                    <xdr:colOff>4667250</xdr:colOff>
                    <xdr:row>65</xdr:row>
                    <xdr:rowOff>676275</xdr:rowOff>
                  </to>
                </anchor>
              </controlPr>
            </control>
          </mc:Choice>
        </mc:AlternateContent>
        <mc:AlternateContent xmlns:mc="http://schemas.openxmlformats.org/markup-compatibility/2006">
          <mc:Choice Requires="x14">
            <control shapeId="10282" r:id="rId36" name="List Box 42">
              <controlPr defaultSize="0" autoLine="0" autoPict="0">
                <anchor moveWithCells="1">
                  <from>
                    <xdr:col>1</xdr:col>
                    <xdr:colOff>3400425</xdr:colOff>
                    <xdr:row>67</xdr:row>
                    <xdr:rowOff>257175</xdr:rowOff>
                  </from>
                  <to>
                    <xdr:col>1</xdr:col>
                    <xdr:colOff>4667250</xdr:colOff>
                    <xdr:row>67</xdr:row>
                    <xdr:rowOff>676275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Summary</vt:lpstr>
      <vt:lpstr>Section 1</vt:lpstr>
      <vt:lpstr>Section 2</vt:lpstr>
      <vt:lpstr>Control-tab</vt:lpstr>
      <vt:lpstr>Section 3</vt:lpstr>
      <vt:lpstr>Section 4</vt:lpstr>
      <vt:lpstr>Section 5</vt:lpstr>
      <vt:lpstr>'Section 3'!Print_Area</vt:lpstr>
      <vt:lpstr>'Section 4'!Print_Area</vt:lpstr>
      <vt:lpstr>'Section 5'!Print_Area</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Boon Wee ANG (BCA)</dc:creator>
  <cp:lastModifiedBy>Boon Wee ANG (BCA)</cp:lastModifiedBy>
  <cp:lastPrinted>2019-07-02T06:16:08Z</cp:lastPrinted>
  <dcterms:created xsi:type="dcterms:W3CDTF">2018-09-25T09:29:52Z</dcterms:created>
  <dcterms:modified xsi:type="dcterms:W3CDTF">2020-03-12T09:47:45Z</dcterms:modified>
</cp:coreProperties>
</file>